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1" activeTab="1"/>
  </bookViews>
  <sheets>
    <sheet name="ORÇAMENTO CRICIUMA FINAL (2)" sheetId="1" r:id="rId1"/>
    <sheet name="ORÇAMENTO CRICIUMA FINAL" sheetId="2" r:id="rId2"/>
    <sheet name="CRONOGRAMA CRICIÚMA" sheetId="3" r:id="rId3"/>
  </sheets>
  <definedNames>
    <definedName name="TABLE" localSheetId="1">'ORÇAMENTO CRICIUMA FINAL'!$A$12:$E$207</definedName>
    <definedName name="TABLE" localSheetId="0">'ORÇAMENTO CRICIUMA FINAL (2)'!$A$6:$E$261</definedName>
  </definedNames>
  <calcPr fullCalcOnLoad="1"/>
</workbook>
</file>

<file path=xl/sharedStrings.xml><?xml version="1.0" encoding="utf-8"?>
<sst xmlns="http://schemas.openxmlformats.org/spreadsheetml/2006/main" count="1470" uniqueCount="590">
  <si>
    <t>CÓDIGO</t>
  </si>
  <si>
    <t>DESCRIÇÃO</t>
  </si>
  <si>
    <t>CLASS</t>
  </si>
  <si>
    <t>UNIDADE</t>
  </si>
  <si>
    <t>QUANT.</t>
  </si>
  <si>
    <t>PREÇO MAT. (UNIT.)(R$)</t>
  </si>
  <si>
    <t>PREÇO M.O. (UNIT.)(R$)</t>
  </si>
  <si>
    <t>01 </t>
  </si>
  <si>
    <t>PROJETO EXECUTIVO</t>
  </si>
  <si>
    <t>01.01 </t>
  </si>
  <si>
    <t>Projeto Executivo de Cabeamento Estruturado de Telefonia e Dados</t>
  </si>
  <si>
    <t>Projeto executivo de cabeamento estruturado de telefonia e dados</t>
  </si>
  <si>
    <t>M.O.</t>
  </si>
  <si>
    <t>M2</t>
  </si>
  <si>
    <t>Projeto de Instalações Elétricas</t>
  </si>
  <si>
    <t>PROJETO executivo de instalações elétricas (Iluminação, Tomadas e Quadros)</t>
  </si>
  <si>
    <t>PROJETO Executivo de Instalações Elétricas (Entrada Energia Subestação Abrigada)</t>
  </si>
  <si>
    <t>UN</t>
  </si>
  <si>
    <t>02 </t>
  </si>
  <si>
    <t>CANTEIRO DE OBRAS</t>
  </si>
  <si>
    <t>02.01 </t>
  </si>
  <si>
    <t>Montagem Instalações Provisórias do Canteiro de Obras</t>
  </si>
  <si>
    <t>PLACA DE OBRA</t>
  </si>
  <si>
    <t>SER.CG</t>
  </si>
  <si>
    <t>PINTURA com tinta latex PVA 2 demãos</t>
  </si>
  <si>
    <t>TAPUME em chapa compensada resinada de 6mm, sem pintura</t>
  </si>
  <si>
    <t>02.02 </t>
  </si>
  <si>
    <t>Desmontagem Instalações Provisórias Canteiro de Obras</t>
  </si>
  <si>
    <t>DEMOLIÇÃO de barraco de obra no final da obra</t>
  </si>
  <si>
    <t>03 </t>
  </si>
  <si>
    <t>SERVIÇOS INICIAIS</t>
  </si>
  <si>
    <t>03.01 </t>
  </si>
  <si>
    <t>Demolições e Remoções</t>
  </si>
  <si>
    <t>DEMOLIÇÃO de alvenaria de tijolo comum, sem reaproveitamento</t>
  </si>
  <si>
    <t>M3</t>
  </si>
  <si>
    <t>DEMOLIÇÃO de piso revestido com granilite</t>
  </si>
  <si>
    <t>RETIRADA de peitoril de mármore ou granito</t>
  </si>
  <si>
    <t>M</t>
  </si>
  <si>
    <t>REMOÇÃO de esquadria metálica com ou sem reaproveitamento</t>
  </si>
  <si>
    <t>REMOÇÃO de pintura a látex</t>
  </si>
  <si>
    <t>REMOÇÃO de pintura a óleo ou esmalte</t>
  </si>
  <si>
    <t>RETIRADA DE FORRO de madeira</t>
  </si>
  <si>
    <t>RETIRADA de rodapés e rodameios de madeira</t>
  </si>
  <si>
    <t>REMOÇÃO de painel divisório em chapas ou tábuas, inclusive demolição</t>
  </si>
  <si>
    <t>RETIRADA de taco de madeira</t>
  </si>
  <si>
    <t>RETIRADA de grades</t>
  </si>
  <si>
    <t>DEMOLIÇÃO de azulejos</t>
  </si>
  <si>
    <t>DEMOLIÇÃO piso e rodapé ceramicos</t>
  </si>
  <si>
    <t>RETIRADA de aparelhos sanitarios</t>
  </si>
  <si>
    <t>RETIRADA de eletrodutos</t>
  </si>
  <si>
    <t>RETIRADA de portas, janelas e caixilhos</t>
  </si>
  <si>
    <t>DEMOLIÇÃO de revestimento em lambri de madeira</t>
  </si>
  <si>
    <t>SER.MO</t>
  </si>
  <si>
    <t>RETIRADA soleiras de granito</t>
  </si>
  <si>
    <t>DEMOLIÇÃO de contrapiso concreto 8cm</t>
  </si>
  <si>
    <t>DEMOLIÇÃO de emboço e reboco</t>
  </si>
  <si>
    <t>RETIRADA de piso vinílico</t>
  </si>
  <si>
    <t>RETIRADA de peitoril cerâmico</t>
  </si>
  <si>
    <t>REMOÇÃO de vidros em esquadrias de ferro</t>
  </si>
  <si>
    <t>RETIRADA de luminárias</t>
  </si>
  <si>
    <t>RETIRADA de tubulação hidrossanitária e acessórios</t>
  </si>
  <si>
    <t>RETIRADA balcão de madeira com vidros</t>
  </si>
  <si>
    <t>03.02 </t>
  </si>
  <si>
    <t>Remoção de Entulho</t>
  </si>
  <si>
    <t>CARGA manual de entulho em caminhão basculante 6m³</t>
  </si>
  <si>
    <t>04 </t>
  </si>
  <si>
    <t>ALVENARIA E VEDAÇÕES</t>
  </si>
  <si>
    <t>04.01 </t>
  </si>
  <si>
    <t>Alvenaria de Blocos Cerâmicos</t>
  </si>
  <si>
    <t>TELA soldada para prevenção de trincas em alvenaria/estrutura, largura 7,5 cm</t>
  </si>
  <si>
    <t>CHAPISCO em paredes traço 1:3 cimento e areia espesura 0,5cm</t>
  </si>
  <si>
    <t>LOCAÇÃO de alvenaria</t>
  </si>
  <si>
    <t>VERGA e CONTRAVERGA pré-moldadas concreto armado fck=15MPa (10x10 cm)</t>
  </si>
  <si>
    <t>ALVENARIA bloco cerâmico 11,5x19x19, com argamassa mista 1:2:8, 1/2 vez, assentados</t>
  </si>
  <si>
    <t>ENCUNHAMENTO de alvenaria com tijolos maciços</t>
  </si>
  <si>
    <t>VIGA de concreto armado fck=15MPa, dimensões 20x20cm, com 4 barras de aço CA-50 com diâmetro igual a 10mm e estribos de diâmetro 5mm a cada 15cm.</t>
  </si>
  <si>
    <t>05 </t>
  </si>
  <si>
    <t>INSTALAÇÕES HIDROSSANITÁRIAS</t>
  </si>
  <si>
    <t>05.01 </t>
  </si>
  <si>
    <t>Instalações de Água Fria</t>
  </si>
  <si>
    <t>JOELHO 90° soldável de PVC marrom com rosca metálica Ø 25 mm x 1/2"</t>
  </si>
  <si>
    <t>JOELHO 90° soldável de PVC marrom com rosca metálica Ø 25 mm x 3/4"</t>
  </si>
  <si>
    <t>TÊ 90° soldável de PVC azul com rosca metálica , Ø 25 mm x 25 mm x 1/2"</t>
  </si>
  <si>
    <t>TÊ 90° soldável de PVC marrom Ø 25 mm</t>
  </si>
  <si>
    <t>TÊ 90° soldável de PVC marrom Ø 32 mm</t>
  </si>
  <si>
    <t>UNIÃO soldável de PVC marrom Ø 25 mm</t>
  </si>
  <si>
    <t>TUBO de PVC soldável, sem conexões Ø 25 mm</t>
  </si>
  <si>
    <t>TUBO de PVC soldável, sem conexões Ø 32 mm</t>
  </si>
  <si>
    <t>BUCHA de redução soldável de PVC marrom, curta, Ø 32 mm x 25 mm</t>
  </si>
  <si>
    <t>ADAPTADOR soldável de PVC marrom, curto para registro Ø 25 mm x 3/4"</t>
  </si>
  <si>
    <t>CURVA 45° soldável de PVC marrom Ø 25 mm</t>
  </si>
  <si>
    <t>CURVA 90° soldável de PVC marrom Ø 25 mm</t>
  </si>
  <si>
    <t>CURVA 90° soldável de PVC marrom Ø 32 mm</t>
  </si>
  <si>
    <t>Registro de gaveta 3/4" com canopla acabamento cromado</t>
  </si>
  <si>
    <t>REGISTRO de pressão 3/4" c/ canopla acabamento cromado</t>
  </si>
  <si>
    <t>05.02 </t>
  </si>
  <si>
    <t>Instalações Sanitárias de Esgotos</t>
  </si>
  <si>
    <t>JUNÇÃO 45° de PVC branco , ponta bolsa e virola, Ø 100 x 100 mm</t>
  </si>
  <si>
    <t>JUNÇÃO 45° de PVC branco com redução, ponta bolsa e virola, Ø 100 x 50 mm</t>
  </si>
  <si>
    <t>TÊ 90° de PVC branco , ponta bolsa e virola, Ø 50 x 50 mm</t>
  </si>
  <si>
    <t>TUBO de PVC branco, sem conexões , ponta e bolsa soldável, Ø 40 mm</t>
  </si>
  <si>
    <t>TUBO de PVC branco, sem conexões , ponta bolsa e virola, Ø 50 mm</t>
  </si>
  <si>
    <t>TUBO de PVC branco, sem conexões , ponta bolsa e virola, Ø 75 mm</t>
  </si>
  <si>
    <t>TUBO de PVC branco, sem conexões , ponta bolsa e virola, Ø 100 mm</t>
  </si>
  <si>
    <t>CURVA 45° longa de PVC branco , ponta bolsa e virola, Ø 50 mm</t>
  </si>
  <si>
    <t>CURVA 45° longa de PVC branco , ponta bolsa e virola, Ø 100 mm</t>
  </si>
  <si>
    <t>CURVA 90° curta de PVC branco , ponta bolsa e virola, Ø 50 mm</t>
  </si>
  <si>
    <t>CURVA 90° curta de PVC branco , ponta bolsa e virola, Ø 100 mm</t>
  </si>
  <si>
    <t>CURVA 90° curta de PVC branco , ponta e bolsa soldável, Ø 40 mm</t>
  </si>
  <si>
    <t>JOELHO 45° de PVC branco , ponta e bolsa soldável, Ø 40 mm</t>
  </si>
  <si>
    <t>JOELHO 45° de PVC branco , ponta bolsa e virola, Ø 50 mm</t>
  </si>
  <si>
    <t>JOELHO 90° de PVC branco , ponta e bolsa soldável, Ø 40 mm</t>
  </si>
  <si>
    <t>JOELHO 90° de PVC branco , ponta bolsa e virola, Ø 50 mm</t>
  </si>
  <si>
    <t>JOELHO 90° de PVC branco , ponta bolsa e virola, Ø 75 mm</t>
  </si>
  <si>
    <t>CAIXA sifonada de PVC 100 x 100 x 50 mm, com grelha cromada e cesto de limpeza</t>
  </si>
  <si>
    <t>CAIXA sifonada de PVC 150 x 150 x 50mm, com grelha cromada e cesto de limpeza</t>
  </si>
  <si>
    <t>Adaptador para saída de vaso sanitário</t>
  </si>
  <si>
    <t>05.03 </t>
  </si>
  <si>
    <t>Instalações dos Drenos para Ar Condicionado</t>
  </si>
  <si>
    <t>JOELHO 90° soldável de PVC marrom Ø 25 mm</t>
  </si>
  <si>
    <t>JOELHO 45° soldável de PVC marrom Ø 25 mm</t>
  </si>
  <si>
    <t>05.04 </t>
  </si>
  <si>
    <t>Caixas de Passagem e de Gordura</t>
  </si>
  <si>
    <t>CAIXA DE GORDURA de 64x64x75 com tijolos maciços de 1 vez, revestida com argamassa com aditivo impermeabilizante, com tampa de concreto armado</t>
  </si>
  <si>
    <t>CAIXA DE AREIA de 40x40x40 com tijolos maciços de 1 vez, revestido com argamassa com aditivo impermeabilizante, com tampa de concreto armado</t>
  </si>
  <si>
    <t>CAIXA DE INSPEÇÃO de 84x84x75 com tijolos maciços de 1 vez, revestida com argamassa com aditivo impermeabilizante, com tampa de concreto armado</t>
  </si>
  <si>
    <t>06 </t>
  </si>
  <si>
    <t>INSTALAÇÕES ELÉTRICAS</t>
  </si>
  <si>
    <t>06.01 </t>
  </si>
  <si>
    <t>Instalações Elétricas</t>
  </si>
  <si>
    <t>Instalação elétrica (entrada de energia subestação abrigada) conforme projeto</t>
  </si>
  <si>
    <t>Instalação elétrica (iluminação, tomadas e quadros) conforme projeto (material + mão-de-obra)</t>
  </si>
  <si>
    <t>07 </t>
  </si>
  <si>
    <t>INSTALAÇÕES DE CABEAMENTO ESTRUTURADO DE TELEFONIA E DADOS</t>
  </si>
  <si>
    <t>07.01 </t>
  </si>
  <si>
    <t>Instalações de Cabeamento Estruturado de Telefonia e Dados</t>
  </si>
  <si>
    <t>Instalação de cabeamento estruturado de telefonia e dados conforme projeto (material + mão-de-obra)</t>
  </si>
  <si>
    <t>08 </t>
  </si>
  <si>
    <t>IMPERMEABILIZAÇÃO</t>
  </si>
  <si>
    <t>08.01 </t>
  </si>
  <si>
    <t>Revestimento Impermeabilizante Bicomponente</t>
  </si>
  <si>
    <t>IMPERMEABILIZAÇÃO com argamassa polimérica tipo Denvertec 100 ou similar</t>
  </si>
  <si>
    <t>COLOCAÇÃO de tela estruturante de poliéster (malha 2x2) para reforço de impermeabilização</t>
  </si>
  <si>
    <t>09 </t>
  </si>
  <si>
    <t>REVESTIMENTOS</t>
  </si>
  <si>
    <t>09.01 </t>
  </si>
  <si>
    <t>Revestimentos em Argamassa</t>
  </si>
  <si>
    <t>EMBOÇO paulista (massa única) traço 1:2:8 cimento, cal e areia</t>
  </si>
  <si>
    <t>EMBOÇO paulista (massa única) traço 1:2:8 cimento, cal e areia, com impermeabilizante</t>
  </si>
  <si>
    <t>09.02 </t>
  </si>
  <si>
    <t>Revestimento Cerâmico</t>
  </si>
  <si>
    <t>AZULEJO primeira qualidade 15X15 cm, fixado com argamassa colante, rejuntamento com cimento branco</t>
  </si>
  <si>
    <t>09.03 </t>
  </si>
  <si>
    <t>Revestimento em Placa de Madeira Laminada</t>
  </si>
  <si>
    <t>INSTALAÇÃO placas de madeira laminadas, com sarrafos de madeira e presilhas metálicas, instalado</t>
  </si>
  <si>
    <t>COLOCAÇÃO cantoneiras de madeira para acabamento</t>
  </si>
  <si>
    <t>ML</t>
  </si>
  <si>
    <t>10 </t>
  </si>
  <si>
    <t>PAVIMENTAÇÕES</t>
  </si>
  <si>
    <t>10.01 </t>
  </si>
  <si>
    <t>Contrapiso Armado</t>
  </si>
  <si>
    <t>CONTRAPISO de concreto fck 15 MPa, espessura 6cm</t>
  </si>
  <si>
    <t>ARMADURA de tela de aço CA-60 - malha 20x20 cm</t>
  </si>
  <si>
    <t>10.02 </t>
  </si>
  <si>
    <t>Piso Vinílico</t>
  </si>
  <si>
    <t>PISO vinílico em placa 30x30 semiflexível, espessura 2,0 mm, assentado com cola de contato, incluso cordão de solda</t>
  </si>
  <si>
    <t>10.03 </t>
  </si>
  <si>
    <t>Piso Cerâmico</t>
  </si>
  <si>
    <t>PISO CERÂMICO esmaltado 45 x 45 cm, PEI 3, assentado com argamassa pré-fabricada de cimento colante, incluso rejunte</t>
  </si>
  <si>
    <t>10.04 </t>
  </si>
  <si>
    <t>Piso em Taco de Madeira</t>
  </si>
  <si>
    <t>RECOLOCAÇÃO de tacos de madeira, considerando reaproveitamento, com argamassa no traço 1:4 cimento e areia não peneirada, preparo manual</t>
  </si>
  <si>
    <t>ACABAMENTO tacos de madeira - lixação, calafetação, envernizamento/synteko</t>
  </si>
  <si>
    <t>11 </t>
  </si>
  <si>
    <t>SOLEIRAS E RODAPÉS</t>
  </si>
  <si>
    <t>11.01 </t>
  </si>
  <si>
    <t>Soleira</t>
  </si>
  <si>
    <t>SOLEIRA de granito largura 15cm, espessura 2cm, cor verde ubatuba</t>
  </si>
  <si>
    <t>11.02 </t>
  </si>
  <si>
    <t>Rodapés</t>
  </si>
  <si>
    <t>COLOCAÇÃO de rodapé de madeira</t>
  </si>
  <si>
    <t>RODAPÉ em EVA, com 6 cm de altura e 1,5 cm de espessura, colocado</t>
  </si>
  <si>
    <t>12 </t>
  </si>
  <si>
    <t>ESQUADRIAS</t>
  </si>
  <si>
    <t>12.01 </t>
  </si>
  <si>
    <t>Portas de Madeira Compensada</t>
  </si>
  <si>
    <t>PORTA MADEIRA compensada lisa, 0,80x2,10 m, espessura 3,5 cm, incluindo batentes, alizares e ferragens, para pintura</t>
  </si>
  <si>
    <t>PORTA MADEIRA compensada lisa, 0,80x2,10 m, espessura 3,5 cm, incluindo batentes, alizares e ferragens, acabamento em laminado melamínico</t>
  </si>
  <si>
    <t>12.02 </t>
  </si>
  <si>
    <t>Portas em Vidro Temperado</t>
  </si>
  <si>
    <t>PORTA de vidro temperado , 10 mm, uma folha, 0,80 x 2,10 m, com ferragem, mola hidráulica e acessórios</t>
  </si>
  <si>
    <t>CJ</t>
  </si>
  <si>
    <t>12.03 </t>
  </si>
  <si>
    <t>Portas em Alumínio</t>
  </si>
  <si>
    <t>PORTA EM ALUMÍNIO 1,00 x 2,80 com painel cego de veneziana e bandeira fixa de 0,70 m com vidro plano comum incolor (espessura = 6 mm), incluindo ferragens, colocada</t>
  </si>
  <si>
    <t>PORTA EM ALUMÍNIO vão 2,70 x 3,50 com 2 folhas de giro, com fixos laterais e bandeira fixa, com vidro laminado incolor 4+4 (espessura = 8 mm), incluindo ferragens, colocada</t>
  </si>
  <si>
    <t>12.04 </t>
  </si>
  <si>
    <t>Janelas em Alumínio</t>
  </si>
  <si>
    <t>JANELAS EM ALUMÍNIO, maxim-ar 1 folha, com vidro miniboreal incolor 4mm, com acabamentos, acessórios e ferragens, colocadas</t>
  </si>
  <si>
    <t>JANELAS EM ALUMÍNIO, maxim-ar, com vidro liso incolor 6mm, com acabamentos, acessórios e ferragens, colocadas</t>
  </si>
  <si>
    <t>12.05 </t>
  </si>
  <si>
    <t>Recuperação Janelas de Ferro</t>
  </si>
  <si>
    <t>RECUPERAÇÃO de esquadrias de ferro existentes, com lixamento, remoção de tinta exsitente e limpeza para posterior pintura</t>
  </si>
  <si>
    <t>12.06 </t>
  </si>
  <si>
    <t>Acessórios</t>
  </si>
  <si>
    <t>BARRA horizontal em aço inox, L=40cm , para porta BWC PNE</t>
  </si>
  <si>
    <t>CHAPA de aço inox para porta, dimensões 80 x 40 cm (o par)</t>
  </si>
  <si>
    <t>13 </t>
  </si>
  <si>
    <t>VIDRAÇARIA</t>
  </si>
  <si>
    <t>13.01 </t>
  </si>
  <si>
    <t>Vidros</t>
  </si>
  <si>
    <t>VIDRO LISO incolor 6mm colocado</t>
  </si>
  <si>
    <t>13.02 </t>
  </si>
  <si>
    <t>Espelhos</t>
  </si>
  <si>
    <t>ESPELHO cristal 4mm - 60x80cm - fixados com botonetes</t>
  </si>
  <si>
    <t>ESPELHO cristal 4mm - 60x80cm colocado, suporte em MDF</t>
  </si>
  <si>
    <t>14 </t>
  </si>
  <si>
    <t>GRADES</t>
  </si>
  <si>
    <t>14.01 </t>
  </si>
  <si>
    <t>Fixação de grades nas janelas</t>
  </si>
  <si>
    <t>Fornecimento e instalação de grades em aço zincado conforme projeto</t>
  </si>
  <si>
    <t>15 </t>
  </si>
  <si>
    <t>FORROS</t>
  </si>
  <si>
    <t>15.01 </t>
  </si>
  <si>
    <t>Forros de Gesso Acartonado</t>
  </si>
  <si>
    <t>FORRO DE GESSO acartonado fixo monolítico, suspensos por pendurais de arame galvanizado nº 18 painel, e=12,5 mm</t>
  </si>
  <si>
    <t>16 </t>
  </si>
  <si>
    <t>PINTURAS</t>
  </si>
  <si>
    <t>16.01 </t>
  </si>
  <si>
    <t>Pintura Látex PVA</t>
  </si>
  <si>
    <t>EMASSAMENTO com massa corrida latex PVA 2 demãos para parede interna e forro de gesso</t>
  </si>
  <si>
    <t>PINTURA latex PVA 2 demãos + 1 demão de selador</t>
  </si>
  <si>
    <t>PINTURA com tinta latex PVA 2 demãos, com 1 demão de fundo preparador</t>
  </si>
  <si>
    <t>16.02 </t>
  </si>
  <si>
    <t>Pintura Látex Acrílica</t>
  </si>
  <si>
    <t>EMASSAMENTO com massa acrílica 2 demãos para parede externa</t>
  </si>
  <si>
    <t>PINTURA COM TINTA LÁTEX ACRÍLICA em parede externa, com duas demãos + 1 demão de fundo preparador</t>
  </si>
  <si>
    <t>16.03 </t>
  </si>
  <si>
    <t>Pintura Esmalte Sintético para Madeira</t>
  </si>
  <si>
    <t>PINTURA esmalte sintético acetinado 2 demãos, com fundo nivelador e emassamento, para esquadrias de madeira</t>
  </si>
  <si>
    <t>16.04 </t>
  </si>
  <si>
    <t>Pintura Esmalte Sintético para Metal</t>
  </si>
  <si>
    <t>PINTURA esmalte sintético 2 demãos + 1 demão de zarcão</t>
  </si>
  <si>
    <t>17 </t>
  </si>
  <si>
    <t>APARELHOS SANITÁRIOS</t>
  </si>
  <si>
    <t>17.01 </t>
  </si>
  <si>
    <t>Louças</t>
  </si>
  <si>
    <t>LAVATÓRIO de louça de embutir (cuba) , com acessórios, sem torneira.</t>
  </si>
  <si>
    <t>Lavatório de coluna suspensa</t>
  </si>
  <si>
    <t>BACIA sanitária sifonada com abertura frontal com assento com abertura frontal e acessórios para fixação</t>
  </si>
  <si>
    <t>Bacia sanitária sifonada com caixa acoplada, assento sanitário e acessórios para fixação</t>
  </si>
  <si>
    <t>17.02 </t>
  </si>
  <si>
    <t>Metais</t>
  </si>
  <si>
    <t>TORNEIRA cromada 1/2" ou 3/4" para jardim ou tanque</t>
  </si>
  <si>
    <t>TORNEIRA pressmatic de mesa (com ou sem alavanca)</t>
  </si>
  <si>
    <t>Cuba inox 470x305mm em bancada c/ sifão de pvc e válvula de escoamento 3"</t>
  </si>
  <si>
    <t>TORNEIRA de mesa para pia de cozinha com bica móvel, acabamento cromado</t>
  </si>
  <si>
    <t>Tanque de encaixe em aço inox 27 litros com válvula de escomento 3.1/2"</t>
  </si>
  <si>
    <t>17.03 </t>
  </si>
  <si>
    <t>Complementos</t>
  </si>
  <si>
    <t>Sifão copo em PVC 1.1/4" com fecho hidríco, saída e entrada regulável</t>
  </si>
  <si>
    <t>Válvula de escoamento 1.1/4" acabamento cromado e tampa plástica</t>
  </si>
  <si>
    <t>Sifão copo em PVC 1.1/2" com fecho hidríco, saída e entrada regulável</t>
  </si>
  <si>
    <t>Sifão copo para lavatório em metal cromado 1.1/4" com fecho hídrico</t>
  </si>
  <si>
    <t>Engate flexível em metal cromado 1/2", 40cm</t>
  </si>
  <si>
    <t>Tubo de ligação cromado com anel expansor para bacia sanitária</t>
  </si>
  <si>
    <t>Vedação para saída de vaso sanitário série normal 100mm</t>
  </si>
  <si>
    <t>Caixa de descarga de embutir em alvenaria acionamento frontal, com acessórios de fixação</t>
  </si>
  <si>
    <t>17.04 </t>
  </si>
  <si>
    <t>Bancadas</t>
  </si>
  <si>
    <t>BANCADA em granito polido, cor verde ubatuba, esp. = 2 cm, com rodapia e saia conforme projeto</t>
  </si>
  <si>
    <t>17.05 </t>
  </si>
  <si>
    <t>BARRA DE APOIO para lavatório de louça, para portadores de deficiência física, comprimento 60 cm, largura 45 cm</t>
  </si>
  <si>
    <t>BARRA de apoio horizontal em aço inox, L=80cm , para BWC PNE</t>
  </si>
  <si>
    <t>18 </t>
  </si>
  <si>
    <t>PREVENÇÃO E COMBATE A INCÊNDIO</t>
  </si>
  <si>
    <t>18.01 </t>
  </si>
  <si>
    <t>Unidades Extintoras</t>
  </si>
  <si>
    <t>EXTINTOR água pressurizada ap. 10 L, instalado com suporte em parede e sinalização conforme projeto</t>
  </si>
  <si>
    <t>Extintor de pó químico seco PQS 4Kg, instalado com suporte em parede e sinalização conforme projeto</t>
  </si>
  <si>
    <t>18.02 </t>
  </si>
  <si>
    <t>Saída de Emergência</t>
  </si>
  <si>
    <t>Bloco autônomo de iluminação de emergência com difusor prismático bidirecional, com etiqueta de sinalização com a palavra SAÍDA e seta indicativa, com lâmpada fluorescente compacta 11W</t>
  </si>
  <si>
    <t>Bloco autônomo de iluminação de emergência, com etiqueta de sinalização com a frase SAÍDA DE EMERGÊNCIA e lâmpada fluorescente compacta 11W</t>
  </si>
  <si>
    <t>18.03 </t>
  </si>
  <si>
    <t>Iluminação de Emergência</t>
  </si>
  <si>
    <t>Bloco autônomo de iluminação de emergência com lâmpada fluorescente compacta 11W</t>
  </si>
  <si>
    <t>19 </t>
  </si>
  <si>
    <t>COMUNICAÇÃO VISUAL</t>
  </si>
  <si>
    <t>19.01 </t>
  </si>
  <si>
    <t>Adesivos</t>
  </si>
  <si>
    <t>FAIXAS EM VINIL polimérico, adesivadas com adesivo acrílico base água, dimensões conforme projeto. Letras em vinil, fonte Verdana, conforme projeto ( confecção e instalação )</t>
  </si>
  <si>
    <t>PLACA de poliestireno branca; espessura: 2,0mm; dmensões conforme projeto; letreiro: letras vinil preto, fonte verdana, conforme projeto; símbolo: vinil colorido conforme projeto ( confecção e instalação )</t>
  </si>
  <si>
    <t>20 </t>
  </si>
  <si>
    <t>SERVIÇOS FINAIS</t>
  </si>
  <si>
    <t>20.01 </t>
  </si>
  <si>
    <t>Serviços Finais</t>
  </si>
  <si>
    <t>LIMPEZA geral da obra</t>
  </si>
  <si>
    <t>21 </t>
  </si>
  <si>
    <t>ADMINISTRAÇÃO LOCAL DA OBRA</t>
  </si>
  <si>
    <t>21.01 </t>
  </si>
  <si>
    <t>Encarregado</t>
  </si>
  <si>
    <t>H</t>
  </si>
  <si>
    <t>Engenheiro</t>
  </si>
  <si>
    <t>SUBTOTAL: (Sem Taxa)</t>
  </si>
  <si>
    <t>SUBTOTAL: (Com Taxa BDI=25%)</t>
  </si>
  <si>
    <t>Administração local da obra (4 meses)</t>
  </si>
  <si>
    <t>01.01.01</t>
  </si>
  <si>
    <t>01.02</t>
  </si>
  <si>
    <t>01.02.01</t>
  </si>
  <si>
    <t>01.02.02</t>
  </si>
  <si>
    <t>02.01.01</t>
  </si>
  <si>
    <t>02.01.02</t>
  </si>
  <si>
    <t>02.01.03</t>
  </si>
  <si>
    <t>02.02.01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</si>
  <si>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</si>
  <si>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</si>
  <si>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</si>
  <si>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</si>
  <si>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</si>
  <si>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</si>
  <si>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</si>
  <si>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</si>
  <si>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</si>
  <si>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</si>
  <si>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03.01.11</t>
  </si>
  <si>
    <t>03.01.12</t>
  </si>
  <si>
    <t>03.01.13</t>
  </si>
  <si>
    <t>03.01.14</t>
  </si>
  <si>
    <t>03.01.15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</si>
  <si>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</si>
  <si>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</si>
  <si>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</si>
  <si>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</si>
  <si>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</si>
  <si>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</si>
  <si>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</si>
  <si>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</si>
  <si>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</si>
  <si>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</si>
  <si>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</si>
  <si>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>03.02.01</t>
  </si>
  <si>
    <t>04.01.01</t>
  </si>
  <si>
    <t>04.01.02</t>
  </si>
  <si>
    <t>04.01.03</t>
  </si>
  <si>
    <t>04.01.04</t>
  </si>
  <si>
    <t>04.01.05</t>
  </si>
  <si>
    <t>04.01.06</t>
  </si>
  <si>
    <t>04.01.07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</si>
  <si>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</si>
  <si>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</si>
  <si>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</si>
  <si>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</si>
  <si>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</si>
  <si>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</si>
  <si>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</si>
  <si>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</si>
  <si>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</si>
  <si>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</si>
  <si>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</si>
  <si>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</si>
  <si>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</si>
  <si>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</si>
  <si>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05.01.15</t>
  </si>
  <si>
    <t>05.02.01</t>
  </si>
  <si>
    <t>05.02.02</t>
  </si>
  <si>
    <t>05.02.03</t>
  </si>
  <si>
    <t>05.02.04</t>
  </si>
  <si>
    <t>05.02.05</t>
  </si>
  <si>
    <t>05.02.06</t>
  </si>
  <si>
    <t>05.02.07</t>
  </si>
  <si>
    <t>05.02.08</t>
  </si>
  <si>
    <t>05.02.09</t>
  </si>
  <si>
    <t>05.02.10</t>
  </si>
  <si>
    <t>05.02.11</t>
  </si>
  <si>
    <t>05.02.12</t>
  </si>
  <si>
    <t>05.02.13</t>
  </si>
  <si>
    <t>05.02.14</t>
  </si>
  <si>
    <t>05.02.15</t>
  </si>
  <si>
    <t>05.02.16</t>
  </si>
  <si>
    <t>05.02.17</t>
  </si>
  <si>
    <t>05.02.18</t>
  </si>
  <si>
    <t>05.02.19</t>
  </si>
  <si>
    <t>05.02.20</t>
  </si>
  <si>
    <t>05.03.01</t>
  </si>
  <si>
    <t>05.03.02</t>
  </si>
  <si>
    <t>05.03.03</t>
  </si>
  <si>
    <t>05.04.01</t>
  </si>
  <si>
    <t>05.04.02</t>
  </si>
  <si>
    <t>05.04.03</t>
  </si>
  <si>
    <t>06.01.01</t>
  </si>
  <si>
    <t>06.01.02</t>
  </si>
  <si>
    <t>07.01.01</t>
  </si>
  <si>
    <t>08.01.01</t>
  </si>
  <si>
    <t>08.01.02</t>
  </si>
  <si>
    <t>09.01.01</t>
  </si>
  <si>
    <t>09.01.02</t>
  </si>
  <si>
    <t>09.01.03</t>
  </si>
  <si>
    <t>09.02.01</t>
  </si>
  <si>
    <t>09.03.01</t>
  </si>
  <si>
    <t>09.03.02</t>
  </si>
  <si>
    <t>10.01.01</t>
  </si>
  <si>
    <t>10.01.02</t>
  </si>
  <si>
    <t>10.02.01</t>
  </si>
  <si>
    <t>10.03.01</t>
  </si>
  <si>
    <t>10.04.01</t>
  </si>
  <si>
    <t>10.04.02</t>
  </si>
  <si>
    <t>11.01.01</t>
  </si>
  <si>
    <t>11.02.01</t>
  </si>
  <si>
    <t>11.02.02</t>
  </si>
  <si>
    <t>12.01.01</t>
  </si>
  <si>
    <t>12.01.02</t>
  </si>
  <si>
    <t>12.02.01</t>
  </si>
  <si>
    <t>12.03.01</t>
  </si>
  <si>
    <t>12.03.02</t>
  </si>
  <si>
    <t>12.04.01</t>
  </si>
  <si>
    <t>12.04.02</t>
  </si>
  <si>
    <t>15.05.01</t>
  </si>
  <si>
    <t>12.06.01</t>
  </si>
  <si>
    <t>12.06.02</t>
  </si>
  <si>
    <t>13.01.01</t>
  </si>
  <si>
    <t>13.02.01</t>
  </si>
  <si>
    <t>13.02.02</t>
  </si>
  <si>
    <t>14.01.01</t>
  </si>
  <si>
    <t>15.01.01</t>
  </si>
  <si>
    <t>16.01.01</t>
  </si>
  <si>
    <t>16.01.02</t>
  </si>
  <si>
    <t>16.01.03</t>
  </si>
  <si>
    <t>16.01.04</t>
  </si>
  <si>
    <t>16.02.01</t>
  </si>
  <si>
    <t>16.02.02</t>
  </si>
  <si>
    <t>16.03.01</t>
  </si>
  <si>
    <t>16.04.01</t>
  </si>
  <si>
    <t>17.01.01</t>
  </si>
  <si>
    <t>17.01.02</t>
  </si>
  <si>
    <t>17.01.03</t>
  </si>
  <si>
    <t>17.01.04</t>
  </si>
  <si>
    <t>17.02.01</t>
  </si>
  <si>
    <t>17.02.02</t>
  </si>
  <si>
    <t>17.02.03</t>
  </si>
  <si>
    <t>17.02.04</t>
  </si>
  <si>
    <t>17.02.05</t>
  </si>
  <si>
    <t>17.03.01</t>
  </si>
  <si>
    <t>17.03.02</t>
  </si>
  <si>
    <t>17.03.03</t>
  </si>
  <si>
    <t>17.03.04</t>
  </si>
  <si>
    <t>17.03.05</t>
  </si>
  <si>
    <t>17.03.06</t>
  </si>
  <si>
    <t>17.03.07</t>
  </si>
  <si>
    <t>17.03.08</t>
  </si>
  <si>
    <t>17.04.01</t>
  </si>
  <si>
    <t>17.05.01</t>
  </si>
  <si>
    <t>17.05.02</t>
  </si>
  <si>
    <t>18.01.01</t>
  </si>
  <si>
    <t>18.01.02</t>
  </si>
  <si>
    <t>18.02.01</t>
  </si>
  <si>
    <t>18.02.02</t>
  </si>
  <si>
    <t>18.03.01</t>
  </si>
  <si>
    <t>19.01.01</t>
  </si>
  <si>
    <t>19.01.02</t>
  </si>
  <si>
    <t>20.01.01</t>
  </si>
  <si>
    <t>21.01.01</t>
  </si>
  <si>
    <t>21.01.02</t>
  </si>
  <si>
    <t>PREÇO MAT. (TOTAL)(R$)</t>
  </si>
  <si>
    <t>PREÇO M.O. (TOTAL)(R$)</t>
  </si>
  <si>
    <t>PREÇO FINAL (R$)</t>
  </si>
  <si>
    <t>subtotal</t>
  </si>
  <si>
    <t>TRIBUNAL REGIONAL ELEITORAL DE SANTA CATARINA</t>
  </si>
  <si>
    <t>Av. Getúlio Vargas, 361 - Palácio do Estado </t>
  </si>
  <si>
    <t>Orçamento Geral Obra Cartórios Eleitorais de Criciúma-SC</t>
  </si>
  <si>
    <t>Taxa: BDI 25%</t>
  </si>
  <si>
    <t>TOTAL GERAL: (Com Taxa BDI=25%)</t>
  </si>
  <si>
    <t>10.02.02</t>
  </si>
  <si>
    <t>ENCERAMENTO piso vinílico com cera acrílica (inclui lavagem do piso antes da aplicação da cera)</t>
  </si>
  <si>
    <t>Cronograma  Geral Obra Cartórios Eleitorais de Criciúma-SC</t>
  </si>
  <si>
    <t>CÓDIGO </t>
  </si>
  <si>
    <t>DESCRIÇÃO </t>
  </si>
  <si>
    <t>DURAÇÃO (dias) </t>
  </si>
  <si>
    <t>PREÇO (R$) </t>
  </si>
  <si>
    <t>Mês 1 (R$)</t>
  </si>
  <si>
    <t>Mês 2 (R$)</t>
  </si>
  <si>
    <t>Mês 3 (R$)</t>
  </si>
  <si>
    <t>Mês 4 (R$)</t>
  </si>
  <si>
    <t>01  </t>
  </si>
  <si>
    <t>PROJETO EXECUTIVO </t>
  </si>
  <si>
    <t>*</t>
  </si>
  <si>
    <t>02  </t>
  </si>
  <si>
    <t>CANTEIRO DE OBRAS </t>
  </si>
  <si>
    <t>03  </t>
  </si>
  <si>
    <t>SERVIÇOS INICIAIS </t>
  </si>
  <si>
    <t>24</t>
  </si>
  <si>
    <t>04  </t>
  </si>
  <si>
    <t>ALVENARIA E VEDAÇÕES </t>
  </si>
  <si>
    <t>10</t>
  </si>
  <si>
    <t>05  </t>
  </si>
  <si>
    <t>INSTALAÇÕES HIDROSSANITÁRIAS </t>
  </si>
  <si>
    <t>30</t>
  </si>
  <si>
    <t>06  </t>
  </si>
  <si>
    <t>INSTALAÇÕES ELÉTRICAS </t>
  </si>
  <si>
    <t>63</t>
  </si>
  <si>
    <t>07  </t>
  </si>
  <si>
    <t>INSTALAÇÕES DE CABEAMENTO ESTRUTURADO DE TELEFONIA E DADOS </t>
  </si>
  <si>
    <t>08  </t>
  </si>
  <si>
    <t>IMPERMEABILIZAÇÃO </t>
  </si>
  <si>
    <t>21</t>
  </si>
  <si>
    <t>09  </t>
  </si>
  <si>
    <t>REVESTIMENTOS </t>
  </si>
  <si>
    <t>60</t>
  </si>
  <si>
    <t>10  </t>
  </si>
  <si>
    <t>PAVIMENTAÇÕES </t>
  </si>
  <si>
    <t>70</t>
  </si>
  <si>
    <t>11  </t>
  </si>
  <si>
    <t>SOLEIRAS E RODAPÉS </t>
  </si>
  <si>
    <t>6</t>
  </si>
  <si>
    <t>12  </t>
  </si>
  <si>
    <t>ESQUADRIAS </t>
  </si>
  <si>
    <t>48</t>
  </si>
  <si>
    <t>13  </t>
  </si>
  <si>
    <t>VIDRAÇARIA </t>
  </si>
  <si>
    <t>3</t>
  </si>
  <si>
    <t>14  </t>
  </si>
  <si>
    <t>GRADES </t>
  </si>
  <si>
    <t>15  </t>
  </si>
  <si>
    <t>FORROS </t>
  </si>
  <si>
    <t>15</t>
  </si>
  <si>
    <t>16  </t>
  </si>
  <si>
    <t>PINTURAS </t>
  </si>
  <si>
    <t>18</t>
  </si>
  <si>
    <t>17  </t>
  </si>
  <si>
    <t>APARELHOS SANITÁRIOS </t>
  </si>
  <si>
    <t>8</t>
  </si>
  <si>
    <t>18  </t>
  </si>
  <si>
    <t>PREVENÇÃO E COMBATE A INCÊNDIO </t>
  </si>
  <si>
    <t>1</t>
  </si>
  <si>
    <t>19  </t>
  </si>
  <si>
    <t>COMUNICAÇÃO VISUAL </t>
  </si>
  <si>
    <t>20  </t>
  </si>
  <si>
    <t>SERVIÇOS FINAIS </t>
  </si>
  <si>
    <t>4</t>
  </si>
  <si>
    <t>21  </t>
  </si>
  <si>
    <t>ADMINISTRAÇÃO LOCAL DA OBRA </t>
  </si>
  <si>
    <t>DESEMBOLSO MENSAL SEM TAXAS E SEM ADM. (R$)</t>
  </si>
  <si>
    <t>TOTAL FINAL SEM TAXAS E SEM ADM. (R$)</t>
  </si>
  <si>
    <t>BDI</t>
  </si>
  <si>
    <t>DESEMBOLSO MENSAL COM TAXAS E COM ADM. (R$)</t>
  </si>
  <si>
    <t>PERCENTUAL PARCIAL</t>
  </si>
  <si>
    <t>PERCENTUAL ACUMULADO</t>
  </si>
  <si>
    <t>VALOR TOTAL ACUMULADO (R$)</t>
  </si>
  <si>
    <t>TOTAL FINAL COM TAXAS E COM ADM. (R$)</t>
  </si>
  <si>
    <t>ÓRGÃO: TRIBUNAL REGIONAL ELEITORAL DE SANTA CATARINA</t>
  </si>
  <si>
    <t>PROPONENTE: CARLESSI ENGENHARIA COMERCIO E CONSTRUÇÕES LTDA</t>
  </si>
  <si>
    <t>* - O prazo para a elaboração dos projetos será de 20 dias conforme PROJETO BÁSICO</t>
  </si>
  <si>
    <t>TP 003/2009</t>
  </si>
  <si>
    <t>PREÇO MAT. (UNIT R$)</t>
  </si>
  <si>
    <t>PREÇO MAT. TOTAL/R$</t>
  </si>
  <si>
    <t>PREÇO M.O. (UNIT. R$)</t>
  </si>
  <si>
    <t>PREÇO M.O. (TOTAL/R$)</t>
  </si>
  <si>
    <t>QUANT</t>
  </si>
  <si>
    <t>UNID</t>
  </si>
  <si>
    <t>Itens para Supressão</t>
  </si>
  <si>
    <t>Itens para Adição</t>
  </si>
  <si>
    <t>Subtotal 1º TA (sem taxa):</t>
  </si>
  <si>
    <t>Subtotal 1º TA (com BDI = 25%):</t>
  </si>
  <si>
    <t>TOTAL GERAL (com BDI e ADM)</t>
  </si>
  <si>
    <t>DIFERENÇA A PAGAR</t>
  </si>
  <si>
    <t>OBRA</t>
  </si>
  <si>
    <t>REFORMA DA EDIFICAÇÃO QUE ABRIGARÁ OS CARTÓRIOS ELEITORAIS DE CRICIÚMA/SC</t>
  </si>
  <si>
    <t>LOCAL</t>
  </si>
  <si>
    <t>Av. Getúlio Vargas, 361 - Palácio do Estado</t>
  </si>
  <si>
    <t>CARLESSI ENGENHARIA, COMÉRCIO E CONSTRUÇÕES LTDA.</t>
  </si>
  <si>
    <t>PLANILHA DE ORÇAMENTO GERAL</t>
  </si>
  <si>
    <t>Data:</t>
  </si>
  <si>
    <t xml:space="preserve">1º Aditivo Contratual </t>
  </si>
  <si>
    <t>SUBTOTAL A SUPRIMIR (sem taxa)</t>
  </si>
  <si>
    <t>SUBTOTAL A ADITAR (sem taxa)</t>
  </si>
  <si>
    <t>DIFERENÇA A PAGAR (sem taxa)</t>
  </si>
  <si>
    <t>DIFERENÇA A PAGAR (com BDI = 25%)</t>
  </si>
  <si>
    <t xml:space="preserve">TP 003/2009                                                                                                                                                                       DATA: 26/08/2010                                                 </t>
  </si>
  <si>
    <t xml:space="preserve">IMPERMEABILIZAÇÃO com argamassa polimérica tipo Denvertec 100 </t>
  </si>
  <si>
    <t>MEDIÇÃO 1</t>
  </si>
  <si>
    <t>MEDIÇÃO 2</t>
  </si>
  <si>
    <t>QUAN</t>
  </si>
  <si>
    <t>% EXEC</t>
  </si>
  <si>
    <t>VALOR</t>
  </si>
  <si>
    <t>ACUM (%)</t>
  </si>
  <si>
    <t>MEDIÇÃO 3</t>
  </si>
  <si>
    <t>Item excluído no 2º TA</t>
  </si>
  <si>
    <t>% NÃO EXECUTADA, SUJEITA A REAJUSTE</t>
  </si>
  <si>
    <t>CONST.</t>
  </si>
  <si>
    <t>Ver Planilha Correspondente (anexa)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</si>
</sst>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0_);[Red]\(0.00\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%"/>
    <numFmt numFmtId="184" formatCode="0.000%"/>
    <numFmt numFmtId="185" formatCode="0.0000%"/>
    <numFmt numFmtId="186" formatCode="0.00000%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indexed="8"/>
      <name val="Verdana"/>
      <family val="2"/>
    </font>
    <font>
      <sz val="18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14" borderId="10" xfId="0" applyFont="1" applyFill="1" applyBorder="1" applyAlignment="1">
      <alignment wrapText="1"/>
    </xf>
    <xf numFmtId="0" fontId="0" fillId="14" borderId="10" xfId="0" applyFill="1" applyBorder="1" applyAlignment="1">
      <alignment/>
    </xf>
    <xf numFmtId="4" fontId="0" fillId="14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1" fillId="16" borderId="10" xfId="0" applyNumberFormat="1" applyFont="1" applyFill="1" applyBorder="1" applyAlignment="1">
      <alignment/>
    </xf>
    <xf numFmtId="4" fontId="0" fillId="14" borderId="10" xfId="0" applyNumberFormat="1" applyFill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14" borderId="10" xfId="0" applyFont="1" applyFill="1" applyBorder="1" applyAlignment="1">
      <alignment/>
    </xf>
    <xf numFmtId="4" fontId="1" fillId="14" borderId="10" xfId="0" applyNumberFormat="1" applyFont="1" applyFill="1" applyBorder="1" applyAlignment="1">
      <alignment wrapText="1"/>
    </xf>
    <xf numFmtId="4" fontId="1" fillId="1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22" borderId="10" xfId="0" applyFill="1" applyBorder="1" applyAlignment="1">
      <alignment wrapText="1"/>
    </xf>
    <xf numFmtId="0" fontId="1" fillId="22" borderId="10" xfId="0" applyFont="1" applyFill="1" applyBorder="1" applyAlignment="1">
      <alignment horizontal="right" wrapText="1"/>
    </xf>
    <xf numFmtId="4" fontId="0" fillId="22" borderId="10" xfId="0" applyNumberFormat="1" applyFill="1" applyBorder="1" applyAlignment="1">
      <alignment wrapText="1"/>
    </xf>
    <xf numFmtId="4" fontId="0" fillId="22" borderId="11" xfId="0" applyNumberFormat="1" applyFill="1" applyBorder="1" applyAlignment="1">
      <alignment wrapText="1"/>
    </xf>
    <xf numFmtId="4" fontId="0" fillId="22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1" fillId="24" borderId="14" xfId="0" applyNumberFormat="1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4" fontId="1" fillId="22" borderId="14" xfId="0" applyNumberFormat="1" applyFont="1" applyFill="1" applyBorder="1" applyAlignment="1">
      <alignment/>
    </xf>
    <xf numFmtId="4" fontId="0" fillId="24" borderId="11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43" fontId="0" fillId="24" borderId="10" xfId="0" applyNumberFormat="1" applyFont="1" applyFill="1" applyBorder="1" applyAlignment="1">
      <alignment/>
    </xf>
    <xf numFmtId="4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 wrapText="1"/>
    </xf>
    <xf numFmtId="4" fontId="6" fillId="16" borderId="16" xfId="0" applyNumberFormat="1" applyFont="1" applyFill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25" borderId="16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 wrapText="1"/>
    </xf>
    <xf numFmtId="4" fontId="6" fillId="25" borderId="17" xfId="0" applyNumberFormat="1" applyFont="1" applyFill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4" fontId="6" fillId="16" borderId="17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16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 wrapText="1"/>
    </xf>
    <xf numFmtId="4" fontId="6" fillId="25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1" fillId="14" borderId="10" xfId="0" applyFont="1" applyFill="1" applyBorder="1" applyAlignment="1">
      <alignment/>
    </xf>
    <xf numFmtId="0" fontId="7" fillId="14" borderId="10" xfId="0" applyFont="1" applyFill="1" applyBorder="1" applyAlignment="1">
      <alignment/>
    </xf>
    <xf numFmtId="0" fontId="6" fillId="14" borderId="10" xfId="0" applyFont="1" applyFill="1" applyBorder="1" applyAlignment="1">
      <alignment/>
    </xf>
    <xf numFmtId="4" fontId="6" fillId="14" borderId="10" xfId="0" applyNumberFormat="1" applyFont="1" applyFill="1" applyBorder="1" applyAlignment="1">
      <alignment/>
    </xf>
    <xf numFmtId="4" fontId="6" fillId="14" borderId="10" xfId="0" applyNumberFormat="1" applyFont="1" applyFill="1" applyBorder="1" applyAlignment="1">
      <alignment horizontal="center"/>
    </xf>
    <xf numFmtId="4" fontId="7" fillId="14" borderId="10" xfId="0" applyNumberFormat="1" applyFont="1" applyFill="1" applyBorder="1" applyAlignment="1">
      <alignment horizontal="center"/>
    </xf>
    <xf numFmtId="0" fontId="6" fillId="16" borderId="10" xfId="0" applyFont="1" applyFill="1" applyBorder="1" applyAlignment="1">
      <alignment/>
    </xf>
    <xf numFmtId="10" fontId="6" fillId="16" borderId="10" xfId="0" applyNumberFormat="1" applyFont="1" applyFill="1" applyBorder="1" applyAlignment="1">
      <alignment/>
    </xf>
    <xf numFmtId="4" fontId="6" fillId="16" borderId="10" xfId="0" applyNumberFormat="1" applyFont="1" applyFill="1" applyBorder="1" applyAlignment="1">
      <alignment/>
    </xf>
    <xf numFmtId="4" fontId="6" fillId="16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0" fontId="6" fillId="0" borderId="10" xfId="0" applyNumberFormat="1" applyFont="1" applyBorder="1" applyAlignment="1">
      <alignment horizontal="center"/>
    </xf>
    <xf numFmtId="4" fontId="7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14" borderId="18" xfId="0" applyFont="1" applyFill="1" applyBorder="1" applyAlignment="1">
      <alignment horizontal="center" vertical="center" wrapText="1"/>
    </xf>
    <xf numFmtId="4" fontId="4" fillId="14" borderId="18" xfId="0" applyNumberFormat="1" applyFont="1" applyFill="1" applyBorder="1" applyAlignment="1">
      <alignment horizontal="center" vertical="center" wrapText="1"/>
    </xf>
    <xf numFmtId="4" fontId="5" fillId="14" borderId="18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right" vertical="justify" readingOrder="1"/>
    </xf>
    <xf numFmtId="0" fontId="0" fillId="24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21" borderId="11" xfId="0" applyFont="1" applyFill="1" applyBorder="1" applyAlignment="1">
      <alignment/>
    </xf>
    <xf numFmtId="2" fontId="0" fillId="21" borderId="11" xfId="0" applyNumberFormat="1" applyFont="1" applyFill="1" applyBorder="1" applyAlignment="1">
      <alignment/>
    </xf>
    <xf numFmtId="43" fontId="0" fillId="21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43" fontId="0" fillId="0" borderId="11" xfId="0" applyNumberFormat="1" applyBorder="1" applyAlignment="1">
      <alignment/>
    </xf>
    <xf numFmtId="0" fontId="0" fillId="21" borderId="11" xfId="0" applyFill="1" applyBorder="1" applyAlignment="1">
      <alignment/>
    </xf>
    <xf numFmtId="2" fontId="0" fillId="0" borderId="11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Border="1" applyAlignment="1">
      <alignment vertical="justify" readingOrder="1"/>
    </xf>
    <xf numFmtId="0" fontId="0" fillId="0" borderId="0" xfId="0" applyBorder="1" applyAlignment="1">
      <alignment horizontal="center"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0" xfId="0" applyNumberFormat="1" applyBorder="1" applyAlignment="1">
      <alignment vertical="justify" readingOrder="1"/>
    </xf>
    <xf numFmtId="43" fontId="0" fillId="0" borderId="0" xfId="0" applyNumberFormat="1" applyBorder="1" applyAlignment="1">
      <alignment shrinkToFit="1"/>
    </xf>
    <xf numFmtId="0" fontId="1" fillId="14" borderId="10" xfId="0" applyFont="1" applyFill="1" applyBorder="1" applyAlignment="1">
      <alignment vertical="center" wrapText="1"/>
    </xf>
    <xf numFmtId="0" fontId="0" fillId="14" borderId="10" xfId="0" applyFill="1" applyBorder="1" applyAlignment="1">
      <alignment horizontal="center" vertical="center"/>
    </xf>
    <xf numFmtId="0" fontId="0" fillId="14" borderId="10" xfId="0" applyFill="1" applyBorder="1" applyAlignment="1">
      <alignment vertical="center"/>
    </xf>
    <xf numFmtId="4" fontId="0" fillId="14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3" fontId="0" fillId="0" borderId="10" xfId="53" applyFont="1" applyBorder="1" applyAlignment="1">
      <alignment horizontal="right" vertical="center"/>
    </xf>
    <xf numFmtId="43" fontId="0" fillId="0" borderId="10" xfId="53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3" fontId="0" fillId="0" borderId="10" xfId="53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43" fontId="0" fillId="0" borderId="10" xfId="53" applyFont="1" applyBorder="1" applyAlignment="1">
      <alignment vertical="center" wrapText="1"/>
    </xf>
    <xf numFmtId="4" fontId="1" fillId="16" borderId="10" xfId="0" applyNumberFormat="1" applyFont="1" applyFill="1" applyBorder="1" applyAlignment="1">
      <alignment vertical="center"/>
    </xf>
    <xf numFmtId="0" fontId="0" fillId="14" borderId="11" xfId="0" applyFill="1" applyBorder="1" applyAlignment="1">
      <alignment vertical="center"/>
    </xf>
    <xf numFmtId="43" fontId="0" fillId="14" borderId="10" xfId="53" applyFont="1" applyFill="1" applyBorder="1" applyAlignment="1">
      <alignment vertical="center"/>
    </xf>
    <xf numFmtId="43" fontId="0" fillId="14" borderId="10" xfId="53" applyFont="1" applyFill="1" applyBorder="1" applyAlignment="1">
      <alignment vertical="center" wrapText="1"/>
    </xf>
    <xf numFmtId="4" fontId="0" fillId="14" borderId="21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3" fontId="1" fillId="0" borderId="10" xfId="53" applyFont="1" applyBorder="1" applyAlignment="1">
      <alignment vertical="center"/>
    </xf>
    <xf numFmtId="43" fontId="1" fillId="0" borderId="10" xfId="53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vertical="center"/>
    </xf>
    <xf numFmtId="43" fontId="1" fillId="14" borderId="10" xfId="53" applyFont="1" applyFill="1" applyBorder="1" applyAlignment="1">
      <alignment vertical="center"/>
    </xf>
    <xf numFmtId="43" fontId="1" fillId="14" borderId="10" xfId="53" applyFont="1" applyFill="1" applyBorder="1" applyAlignment="1">
      <alignment vertical="center" wrapText="1"/>
    </xf>
    <xf numFmtId="4" fontId="1" fillId="14" borderId="21" xfId="0" applyNumberFormat="1" applyFont="1" applyFill="1" applyBorder="1" applyAlignment="1">
      <alignment vertical="center" wrapText="1"/>
    </xf>
    <xf numFmtId="4" fontId="1" fillId="1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21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22" borderId="10" xfId="0" applyFill="1" applyBorder="1" applyAlignment="1">
      <alignment vertical="center" wrapText="1"/>
    </xf>
    <xf numFmtId="0" fontId="1" fillId="22" borderId="10" xfId="0" applyFont="1" applyFill="1" applyBorder="1" applyAlignment="1">
      <alignment horizontal="right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1" xfId="0" applyFill="1" applyBorder="1" applyAlignment="1">
      <alignment vertical="center" wrapText="1"/>
    </xf>
    <xf numFmtId="43" fontId="0" fillId="22" borderId="10" xfId="53" applyFont="1" applyFill="1" applyBorder="1" applyAlignment="1">
      <alignment vertical="center" wrapText="1"/>
    </xf>
    <xf numFmtId="43" fontId="0" fillId="22" borderId="10" xfId="53" applyFont="1" applyFill="1" applyBorder="1" applyAlignment="1">
      <alignment vertical="center" shrinkToFit="1"/>
    </xf>
    <xf numFmtId="43" fontId="0" fillId="22" borderId="10" xfId="53" applyFont="1" applyFill="1" applyBorder="1" applyAlignment="1">
      <alignment vertical="center"/>
    </xf>
    <xf numFmtId="4" fontId="0" fillId="22" borderId="21" xfId="0" applyNumberFormat="1" applyFill="1" applyBorder="1" applyAlignment="1">
      <alignment vertical="center" wrapText="1"/>
    </xf>
    <xf numFmtId="4" fontId="1" fillId="22" borderId="12" xfId="0" applyNumberFormat="1" applyFont="1" applyFill="1" applyBorder="1" applyAlignment="1">
      <alignment vertical="center"/>
    </xf>
    <xf numFmtId="4" fontId="0" fillId="22" borderId="22" xfId="0" applyNumberFormat="1" applyFill="1" applyBorder="1" applyAlignment="1">
      <alignment vertical="center" wrapText="1"/>
    </xf>
    <xf numFmtId="4" fontId="1" fillId="22" borderId="23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178" fontId="0" fillId="0" borderId="11" xfId="0" applyNumberFormat="1" applyBorder="1" applyAlignment="1">
      <alignment/>
    </xf>
    <xf numFmtId="178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78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22" borderId="26" xfId="0" applyNumberFormat="1" applyFont="1" applyFill="1" applyBorder="1" applyAlignment="1">
      <alignment vertical="center"/>
    </xf>
    <xf numFmtId="4" fontId="1" fillId="22" borderId="14" xfId="0" applyNumberFormat="1" applyFont="1" applyFill="1" applyBorder="1" applyAlignment="1">
      <alignment vertical="center"/>
    </xf>
    <xf numFmtId="0" fontId="0" fillId="0" borderId="27" xfId="0" applyBorder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14" fontId="13" fillId="0" borderId="28" xfId="0" applyNumberFormat="1" applyFont="1" applyBorder="1" applyAlignment="1">
      <alignment horizontal="right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3" fontId="0" fillId="22" borderId="10" xfId="53" applyFont="1" applyFill="1" applyBorder="1" applyAlignment="1">
      <alignment vertical="center" wrapText="1"/>
    </xf>
    <xf numFmtId="43" fontId="0" fillId="22" borderId="10" xfId="53" applyFont="1" applyFill="1" applyBorder="1" applyAlignment="1">
      <alignment horizontal="right" vertical="center"/>
    </xf>
    <xf numFmtId="4" fontId="1" fillId="22" borderId="10" xfId="0" applyNumberFormat="1" applyFont="1" applyFill="1" applyBorder="1" applyAlignment="1">
      <alignment vertical="center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43" fontId="1" fillId="22" borderId="1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178" fontId="1" fillId="22" borderId="11" xfId="0" applyNumberFormat="1" applyFont="1" applyFill="1" applyBorder="1" applyAlignment="1">
      <alignment/>
    </xf>
    <xf numFmtId="43" fontId="0" fillId="22" borderId="10" xfId="0" applyNumberFormat="1" applyFill="1" applyBorder="1" applyAlignment="1">
      <alignment/>
    </xf>
    <xf numFmtId="4" fontId="0" fillId="22" borderId="10" xfId="0" applyNumberFormat="1" applyFill="1" applyBorder="1" applyAlignment="1">
      <alignment/>
    </xf>
    <xf numFmtId="178" fontId="0" fillId="22" borderId="11" xfId="0" applyNumberForma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25" xfId="0" applyFill="1" applyBorder="1" applyAlignment="1">
      <alignment/>
    </xf>
    <xf numFmtId="43" fontId="0" fillId="22" borderId="12" xfId="0" applyNumberFormat="1" applyFill="1" applyBorder="1" applyAlignment="1">
      <alignment/>
    </xf>
    <xf numFmtId="178" fontId="0" fillId="22" borderId="25" xfId="0" applyNumberFormat="1" applyFill="1" applyBorder="1" applyAlignment="1">
      <alignment/>
    </xf>
    <xf numFmtId="0" fontId="1" fillId="22" borderId="25" xfId="0" applyFont="1" applyFill="1" applyBorder="1" applyAlignment="1">
      <alignment/>
    </xf>
    <xf numFmtId="4" fontId="1" fillId="22" borderId="29" xfId="0" applyNumberFormat="1" applyFon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5" fillId="0" borderId="0" xfId="0" applyFont="1" applyAlignment="1">
      <alignment/>
    </xf>
    <xf numFmtId="4" fontId="1" fillId="22" borderId="12" xfId="0" applyNumberFormat="1" applyFont="1" applyFill="1" applyBorder="1" applyAlignment="1">
      <alignment/>
    </xf>
    <xf numFmtId="4" fontId="18" fillId="14" borderId="30" xfId="0" applyNumberFormat="1" applyFont="1" applyFill="1" applyBorder="1" applyAlignment="1">
      <alignment horizontal="center" vertical="center" wrapText="1"/>
    </xf>
    <xf numFmtId="2" fontId="18" fillId="14" borderId="13" xfId="53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right" vertical="center" wrapText="1"/>
    </xf>
    <xf numFmtId="9" fontId="19" fillId="25" borderId="10" xfId="5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10" fontId="18" fillId="0" borderId="10" xfId="51" applyNumberFormat="1" applyFont="1" applyFill="1" applyBorder="1" applyAlignment="1">
      <alignment horizontal="center" vertical="center" wrapText="1"/>
    </xf>
    <xf numFmtId="4" fontId="20" fillId="25" borderId="21" xfId="0" applyNumberFormat="1" applyFont="1" applyFill="1" applyBorder="1" applyAlignment="1">
      <alignment wrapText="1"/>
    </xf>
    <xf numFmtId="10" fontId="21" fillId="25" borderId="10" xfId="51" applyNumberFormat="1" applyFont="1" applyFill="1" applyBorder="1" applyAlignment="1">
      <alignment horizontal="center" wrapText="1"/>
    </xf>
    <xf numFmtId="4" fontId="22" fillId="19" borderId="10" xfId="0" applyNumberFormat="1" applyFont="1" applyFill="1" applyBorder="1" applyAlignment="1">
      <alignment vertical="center"/>
    </xf>
    <xf numFmtId="4" fontId="20" fillId="14" borderId="21" xfId="0" applyNumberFormat="1" applyFont="1" applyFill="1" applyBorder="1" applyAlignment="1">
      <alignment wrapText="1"/>
    </xf>
    <xf numFmtId="10" fontId="21" fillId="14" borderId="10" xfId="51" applyNumberFormat="1" applyFont="1" applyFill="1" applyBorder="1" applyAlignment="1">
      <alignment horizontal="center" wrapText="1"/>
    </xf>
    <xf numFmtId="4" fontId="18" fillId="14" borderId="10" xfId="0" applyNumberFormat="1" applyFont="1" applyFill="1" applyBorder="1" applyAlignment="1">
      <alignment wrapText="1"/>
    </xf>
    <xf numFmtId="10" fontId="0" fillId="0" borderId="10" xfId="51" applyNumberFormat="1" applyFont="1" applyBorder="1" applyAlignment="1">
      <alignment horizontal="center"/>
    </xf>
    <xf numFmtId="9" fontId="19" fillId="0" borderId="10" xfId="5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10" fontId="1" fillId="14" borderId="10" xfId="51" applyNumberFormat="1" applyFont="1" applyFill="1" applyBorder="1" applyAlignment="1">
      <alignment horizontal="center"/>
    </xf>
    <xf numFmtId="10" fontId="1" fillId="0" borderId="10" xfId="51" applyNumberFormat="1" applyFont="1" applyBorder="1" applyAlignment="1">
      <alignment horizontal="center"/>
    </xf>
    <xf numFmtId="4" fontId="24" fillId="26" borderId="12" xfId="0" applyNumberFormat="1" applyFont="1" applyFill="1" applyBorder="1" applyAlignment="1">
      <alignment vertical="center"/>
    </xf>
    <xf numFmtId="10" fontId="19" fillId="0" borderId="10" xfId="51" applyNumberFormat="1" applyFont="1" applyFill="1" applyBorder="1" applyAlignment="1">
      <alignment horizontal="right" wrapText="1"/>
    </xf>
    <xf numFmtId="10" fontId="19" fillId="25" borderId="10" xfId="51" applyNumberFormat="1" applyFont="1" applyFill="1" applyBorder="1" applyAlignment="1">
      <alignment horizontal="right" vertical="center" wrapText="1"/>
    </xf>
    <xf numFmtId="4" fontId="24" fillId="27" borderId="12" xfId="0" applyNumberFormat="1" applyFont="1" applyFill="1" applyBorder="1" applyAlignment="1">
      <alignment vertical="center"/>
    </xf>
    <xf numFmtId="185" fontId="19" fillId="25" borderId="10" xfId="51" applyNumberFormat="1" applyFont="1" applyFill="1" applyBorder="1" applyAlignment="1">
      <alignment horizontal="right" vertical="center" wrapText="1"/>
    </xf>
    <xf numFmtId="10" fontId="24" fillId="12" borderId="10" xfId="51" applyNumberFormat="1" applyFont="1" applyFill="1" applyBorder="1" applyAlignment="1">
      <alignment horizontal="center" vertical="center"/>
    </xf>
    <xf numFmtId="10" fontId="0" fillId="0" borderId="0" xfId="51" applyNumberFormat="1" applyFont="1" applyAlignment="1">
      <alignment/>
    </xf>
    <xf numFmtId="10" fontId="6" fillId="0" borderId="0" xfId="51" applyNumberFormat="1" applyFont="1" applyAlignment="1">
      <alignment/>
    </xf>
    <xf numFmtId="9" fontId="19" fillId="25" borderId="10" xfId="51" applyFont="1" applyFill="1" applyBorder="1" applyAlignment="1">
      <alignment horizontal="right" vertical="center" wrapText="1"/>
    </xf>
    <xf numFmtId="10" fontId="19" fillId="0" borderId="10" xfId="51" applyNumberFormat="1" applyFont="1" applyFill="1" applyBorder="1" applyAlignment="1">
      <alignment horizontal="right" vertical="center" wrapText="1"/>
    </xf>
    <xf numFmtId="185" fontId="19" fillId="0" borderId="10" xfId="51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0" fontId="0" fillId="0" borderId="0" xfId="51" applyNumberFormat="1" applyFont="1" applyAlignment="1">
      <alignment/>
    </xf>
    <xf numFmtId="4" fontId="22" fillId="0" borderId="10" xfId="0" applyNumberFormat="1" applyFont="1" applyFill="1" applyBorder="1" applyAlignment="1">
      <alignment vertical="center"/>
    </xf>
    <xf numFmtId="10" fontId="7" fillId="0" borderId="0" xfId="0" applyNumberFormat="1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178" fontId="0" fillId="0" borderId="0" xfId="0" applyNumberFormat="1" applyBorder="1" applyAlignment="1">
      <alignment/>
    </xf>
    <xf numFmtId="4" fontId="0" fillId="0" borderId="12" xfId="0" applyNumberFormat="1" applyBorder="1" applyAlignment="1">
      <alignment vertical="center"/>
    </xf>
    <xf numFmtId="4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8" fillId="24" borderId="10" xfId="0" applyFont="1" applyFill="1" applyBorder="1" applyAlignment="1">
      <alignment horizontal="center" vertical="justify" wrapText="1" readingOrder="1"/>
    </xf>
    <xf numFmtId="0" fontId="8" fillId="24" borderId="10" xfId="0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10" fontId="23" fillId="25" borderId="11" xfId="51" applyNumberFormat="1" applyFont="1" applyFill="1" applyBorder="1" applyAlignment="1">
      <alignment horizontal="center" wrapText="1"/>
    </xf>
    <xf numFmtId="10" fontId="23" fillId="14" borderId="11" xfId="51" applyNumberFormat="1" applyFont="1" applyFill="1" applyBorder="1" applyAlignment="1">
      <alignment horizontal="center" wrapText="1"/>
    </xf>
    <xf numFmtId="10" fontId="0" fillId="0" borderId="11" xfId="51" applyNumberFormat="1" applyFont="1" applyBorder="1" applyAlignment="1">
      <alignment horizontal="center"/>
    </xf>
    <xf numFmtId="10" fontId="18" fillId="0" borderId="11" xfId="51" applyNumberFormat="1" applyFont="1" applyFill="1" applyBorder="1" applyAlignment="1">
      <alignment horizontal="center" vertical="center" wrapText="1"/>
    </xf>
    <xf numFmtId="10" fontId="1" fillId="0" borderId="11" xfId="51" applyNumberFormat="1" applyFont="1" applyBorder="1" applyAlignment="1">
      <alignment horizontal="center" vertical="center"/>
    </xf>
    <xf numFmtId="10" fontId="1" fillId="14" borderId="11" xfId="51" applyNumberFormat="1" applyFont="1" applyFill="1" applyBorder="1" applyAlignment="1">
      <alignment horizontal="center"/>
    </xf>
    <xf numFmtId="10" fontId="1" fillId="0" borderId="11" xfId="51" applyNumberFormat="1" applyFont="1" applyBorder="1" applyAlignment="1">
      <alignment horizontal="center"/>
    </xf>
    <xf numFmtId="186" fontId="18" fillId="0" borderId="11" xfId="51" applyNumberFormat="1" applyFont="1" applyFill="1" applyBorder="1" applyAlignment="1">
      <alignment horizontal="center" vertical="center" wrapText="1"/>
    </xf>
    <xf numFmtId="185" fontId="18" fillId="0" borderId="11" xfId="51" applyNumberFormat="1" applyFont="1" applyFill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2" fontId="18" fillId="14" borderId="31" xfId="53" applyNumberFormat="1" applyFont="1" applyFill="1" applyBorder="1" applyAlignment="1">
      <alignment horizontal="center" vertical="center" wrapText="1"/>
    </xf>
    <xf numFmtId="10" fontId="7" fillId="0" borderId="32" xfId="0" applyNumberFormat="1" applyFont="1" applyBorder="1" applyAlignment="1">
      <alignment horizontal="center" vertical="center" wrapText="1"/>
    </xf>
    <xf numFmtId="10" fontId="18" fillId="4" borderId="0" xfId="53" applyNumberFormat="1" applyFont="1" applyFill="1" applyBorder="1" applyAlignment="1">
      <alignment horizontal="center" vertical="center" wrapText="1"/>
    </xf>
    <xf numFmtId="10" fontId="7" fillId="0" borderId="33" xfId="0" applyNumberFormat="1" applyFont="1" applyBorder="1" applyAlignment="1">
      <alignment horizontal="center" vertical="center" wrapText="1"/>
    </xf>
    <xf numFmtId="10" fontId="42" fillId="14" borderId="34" xfId="51" applyNumberFormat="1" applyFont="1" applyFill="1" applyBorder="1" applyAlignment="1">
      <alignment horizontal="center" vertical="center" wrapText="1"/>
    </xf>
    <xf numFmtId="10" fontId="7" fillId="0" borderId="34" xfId="0" applyNumberFormat="1" applyFont="1" applyBorder="1" applyAlignment="1">
      <alignment horizontal="center" vertical="center" wrapText="1"/>
    </xf>
    <xf numFmtId="10" fontId="1" fillId="14" borderId="34" xfId="51" applyNumberFormat="1" applyFont="1" applyFill="1" applyBorder="1" applyAlignment="1">
      <alignment horizontal="center" vertical="center" wrapText="1"/>
    </xf>
    <xf numFmtId="10" fontId="1" fillId="14" borderId="34" xfId="51" applyNumberFormat="1" applyFont="1" applyFill="1" applyBorder="1" applyAlignment="1">
      <alignment horizontal="center"/>
    </xf>
    <xf numFmtId="10" fontId="7" fillId="0" borderId="35" xfId="0" applyNumberFormat="1" applyFont="1" applyBorder="1" applyAlignment="1">
      <alignment horizontal="center" vertical="center" wrapText="1"/>
    </xf>
    <xf numFmtId="10" fontId="7" fillId="0" borderId="3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43" fillId="24" borderId="37" xfId="0" applyNumberFormat="1" applyFont="1" applyFill="1" applyBorder="1" applyAlignment="1">
      <alignment horizontal="center" vertical="center"/>
    </xf>
    <xf numFmtId="4" fontId="43" fillId="24" borderId="38" xfId="0" applyNumberFormat="1" applyFont="1" applyFill="1" applyBorder="1" applyAlignment="1">
      <alignment horizontal="center" vertical="center"/>
    </xf>
    <xf numFmtId="4" fontId="43" fillId="24" borderId="39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/>
    </xf>
    <xf numFmtId="4" fontId="1" fillId="22" borderId="25" xfId="0" applyNumberFormat="1" applyFont="1" applyFill="1" applyBorder="1" applyAlignment="1">
      <alignment horizontal="center" vertical="center"/>
    </xf>
    <xf numFmtId="4" fontId="1" fillId="22" borderId="29" xfId="0" applyNumberFormat="1" applyFont="1" applyFill="1" applyBorder="1" applyAlignment="1">
      <alignment horizontal="center" vertical="center"/>
    </xf>
    <xf numFmtId="4" fontId="1" fillId="22" borderId="11" xfId="0" applyNumberFormat="1" applyFont="1" applyFill="1" applyBorder="1" applyAlignment="1">
      <alignment horizontal="center" vertical="center"/>
    </xf>
    <xf numFmtId="4" fontId="1" fillId="22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2857500</xdr:colOff>
      <xdr:row>4</xdr:row>
      <xdr:rowOff>133350</xdr:rowOff>
    </xdr:to>
    <xdr:pic>
      <xdr:nvPicPr>
        <xdr:cNvPr id="1" name="Picture 1" descr="logo tre-sc para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3105150</xdr:colOff>
      <xdr:row>3</xdr:row>
      <xdr:rowOff>0</xdr:rowOff>
    </xdr:to>
    <xdr:pic>
      <xdr:nvPicPr>
        <xdr:cNvPr id="1" name="Picture 8" descr="Logo da empre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619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showGridLines="0" zoomScale="90" zoomScaleNormal="90" zoomScalePageLayoutView="0" workbookViewId="0" topLeftCell="A142">
      <selection activeCell="I1" activeCellId="2" sqref="C1:E16384 G1:G16384 I1:J16384"/>
    </sheetView>
  </sheetViews>
  <sheetFormatPr defaultColWidth="9.140625" defaultRowHeight="12.75"/>
  <cols>
    <col min="1" max="1" width="14.8515625" style="7" customWidth="1"/>
    <col min="2" max="2" width="77.00390625" style="7" customWidth="1"/>
    <col min="3" max="3" width="9.57421875" style="7" hidden="1" customWidth="1"/>
    <col min="4" max="4" width="11.421875" style="7" hidden="1" customWidth="1"/>
    <col min="5" max="5" width="10.7109375" style="7" hidden="1" customWidth="1"/>
    <col min="6" max="6" width="13.57421875" style="7" customWidth="1"/>
    <col min="7" max="7" width="13.57421875" style="9" hidden="1" customWidth="1"/>
    <col min="8" max="8" width="12.28125" style="7" customWidth="1"/>
    <col min="9" max="9" width="12.28125" style="9" hidden="1" customWidth="1"/>
    <col min="10" max="10" width="15.421875" style="9" hidden="1" customWidth="1"/>
    <col min="11" max="16384" width="9.140625" style="7" customWidth="1"/>
  </cols>
  <sheetData>
    <row r="1" spans="1:10" ht="12.75">
      <c r="A1" s="47"/>
      <c r="B1" s="47"/>
      <c r="C1" s="47"/>
      <c r="D1" s="47"/>
      <c r="E1" s="47"/>
      <c r="F1" s="47"/>
      <c r="G1" s="48"/>
      <c r="H1" s="47"/>
      <c r="I1" s="48"/>
      <c r="J1" s="48"/>
    </row>
    <row r="2" spans="1:10" ht="15.75">
      <c r="A2" s="47"/>
      <c r="B2" s="47"/>
      <c r="C2" s="52"/>
      <c r="D2" s="47"/>
      <c r="E2" s="52"/>
      <c r="F2" s="53"/>
      <c r="G2" s="48"/>
      <c r="H2" s="47"/>
      <c r="I2" s="48"/>
      <c r="J2" s="53" t="s">
        <v>467</v>
      </c>
    </row>
    <row r="3" spans="1:10" ht="12.75">
      <c r="A3" s="47"/>
      <c r="B3" s="47"/>
      <c r="C3" s="47"/>
      <c r="D3" s="47"/>
      <c r="E3" s="47"/>
      <c r="F3" s="54"/>
      <c r="G3" s="48"/>
      <c r="H3" s="47"/>
      <c r="I3" s="48"/>
      <c r="J3" s="54" t="s">
        <v>469</v>
      </c>
    </row>
    <row r="4" spans="1:10" ht="12.75">
      <c r="A4" s="47"/>
      <c r="B4" s="47"/>
      <c r="C4" s="47"/>
      <c r="D4" s="47"/>
      <c r="E4" s="47"/>
      <c r="F4" s="54"/>
      <c r="G4" s="48"/>
      <c r="H4" s="47"/>
      <c r="I4" s="48"/>
      <c r="J4" s="54" t="s">
        <v>468</v>
      </c>
    </row>
    <row r="5" spans="1:10" ht="12.75">
      <c r="A5" s="47"/>
      <c r="B5" s="47"/>
      <c r="C5" s="47"/>
      <c r="D5" s="47"/>
      <c r="E5" s="47"/>
      <c r="F5" s="47"/>
      <c r="G5" s="48"/>
      <c r="H5" s="47"/>
      <c r="I5" s="48"/>
      <c r="J5" s="48"/>
    </row>
    <row r="6" spans="1:10" ht="12.75">
      <c r="A6" s="49"/>
      <c r="B6" s="49"/>
      <c r="C6" s="50"/>
      <c r="D6" s="50"/>
      <c r="E6" s="50"/>
      <c r="F6" s="50"/>
      <c r="G6" s="51"/>
      <c r="H6" s="50"/>
      <c r="I6" s="51"/>
      <c r="J6" s="51" t="s">
        <v>470</v>
      </c>
    </row>
    <row r="7" spans="1:10" ht="12.75">
      <c r="A7" s="49"/>
      <c r="B7" s="49"/>
      <c r="C7" s="50"/>
      <c r="D7" s="50"/>
      <c r="E7" s="50"/>
      <c r="F7" s="50"/>
      <c r="G7" s="51"/>
      <c r="H7" s="50"/>
      <c r="I7" s="51"/>
      <c r="J7" s="51"/>
    </row>
    <row r="8" spans="1:10" s="8" customFormat="1" ht="25.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10" t="s">
        <v>463</v>
      </c>
      <c r="H8" s="4" t="s">
        <v>6</v>
      </c>
      <c r="I8" s="10" t="s">
        <v>464</v>
      </c>
      <c r="J8" s="10" t="s">
        <v>465</v>
      </c>
    </row>
    <row r="9" spans="1:10" ht="12.75">
      <c r="A9" s="14" t="s">
        <v>7</v>
      </c>
      <c r="B9" s="14" t="s">
        <v>8</v>
      </c>
      <c r="C9" s="15"/>
      <c r="D9" s="15"/>
      <c r="E9" s="15"/>
      <c r="F9" s="15"/>
      <c r="G9" s="16"/>
      <c r="H9" s="15"/>
      <c r="I9" s="16"/>
      <c r="J9" s="16"/>
    </row>
    <row r="10" spans="1:10" s="21" customFormat="1" ht="12.75">
      <c r="A10" s="17" t="s">
        <v>9</v>
      </c>
      <c r="B10" s="17" t="s">
        <v>10</v>
      </c>
      <c r="C10" s="18"/>
      <c r="D10" s="18"/>
      <c r="E10" s="18"/>
      <c r="F10" s="18"/>
      <c r="G10" s="20"/>
      <c r="H10" s="18"/>
      <c r="I10" s="20"/>
      <c r="J10" s="20"/>
    </row>
    <row r="11" spans="1:10" ht="12.75">
      <c r="A11" s="2" t="s">
        <v>307</v>
      </c>
      <c r="B11" s="2" t="s">
        <v>11</v>
      </c>
      <c r="C11" s="2" t="s">
        <v>12</v>
      </c>
      <c r="D11" s="2" t="s">
        <v>13</v>
      </c>
      <c r="E11" s="2">
        <v>390.69</v>
      </c>
      <c r="F11" s="2">
        <v>0</v>
      </c>
      <c r="G11" s="3">
        <f>F11*E11</f>
        <v>0</v>
      </c>
      <c r="H11" s="2">
        <v>3.28</v>
      </c>
      <c r="I11" s="3">
        <f>H11*E11</f>
        <v>1281.4632</v>
      </c>
      <c r="J11" s="6">
        <f>G11+I11</f>
        <v>1281.4632</v>
      </c>
    </row>
    <row r="12" spans="1:10" s="21" customFormat="1" ht="12.75">
      <c r="A12" s="17" t="s">
        <v>308</v>
      </c>
      <c r="B12" s="17" t="s">
        <v>14</v>
      </c>
      <c r="C12" s="18"/>
      <c r="D12" s="18"/>
      <c r="E12" s="18"/>
      <c r="F12" s="18"/>
      <c r="G12" s="19"/>
      <c r="H12" s="18"/>
      <c r="I12" s="19"/>
      <c r="J12" s="20"/>
    </row>
    <row r="13" spans="1:10" ht="12.75">
      <c r="A13" s="2" t="s">
        <v>309</v>
      </c>
      <c r="B13" s="2" t="s">
        <v>15</v>
      </c>
      <c r="C13" s="2" t="s">
        <v>12</v>
      </c>
      <c r="D13" s="2" t="s">
        <v>13</v>
      </c>
      <c r="E13" s="2">
        <v>390.69</v>
      </c>
      <c r="F13" s="2">
        <v>0</v>
      </c>
      <c r="G13" s="3">
        <f>F13*E13</f>
        <v>0</v>
      </c>
      <c r="H13" s="2">
        <v>5.45</v>
      </c>
      <c r="I13" s="3">
        <f>H13*E13</f>
        <v>2129.2605</v>
      </c>
      <c r="J13" s="6">
        <f>G13+I13</f>
        <v>2129.2605</v>
      </c>
    </row>
    <row r="14" spans="1:10" ht="12.75">
      <c r="A14" s="2" t="s">
        <v>310</v>
      </c>
      <c r="B14" s="2" t="s">
        <v>16</v>
      </c>
      <c r="C14" s="2" t="s">
        <v>12</v>
      </c>
      <c r="D14" s="2" t="s">
        <v>17</v>
      </c>
      <c r="E14" s="2">
        <v>1</v>
      </c>
      <c r="F14" s="2">
        <v>0</v>
      </c>
      <c r="G14" s="3">
        <f>F14*E14</f>
        <v>0</v>
      </c>
      <c r="H14" s="2">
        <v>2652.97</v>
      </c>
      <c r="I14" s="3">
        <f>H14*E14</f>
        <v>2652.97</v>
      </c>
      <c r="J14" s="6">
        <f>G14+I14</f>
        <v>2652.97</v>
      </c>
    </row>
    <row r="15" spans="1:10" ht="12.75">
      <c r="A15" s="13"/>
      <c r="B15" s="11" t="s">
        <v>466</v>
      </c>
      <c r="C15" s="2"/>
      <c r="D15" s="2"/>
      <c r="E15" s="2"/>
      <c r="F15" s="2"/>
      <c r="G15" s="3"/>
      <c r="H15" s="2"/>
      <c r="I15" s="3"/>
      <c r="J15" s="22">
        <f>SUM(J11:J14)</f>
        <v>6063.6937</v>
      </c>
    </row>
    <row r="16" spans="1:10" ht="12.75">
      <c r="A16" s="14" t="s">
        <v>18</v>
      </c>
      <c r="B16" s="14" t="s">
        <v>19</v>
      </c>
      <c r="C16" s="15"/>
      <c r="D16" s="15"/>
      <c r="E16" s="15"/>
      <c r="F16" s="15"/>
      <c r="G16" s="23"/>
      <c r="H16" s="15"/>
      <c r="I16" s="23"/>
      <c r="J16" s="16"/>
    </row>
    <row r="17" spans="1:10" ht="12.75">
      <c r="A17" s="13" t="s">
        <v>20</v>
      </c>
      <c r="B17" s="13" t="s">
        <v>21</v>
      </c>
      <c r="C17" s="5"/>
      <c r="D17" s="5"/>
      <c r="E17" s="5"/>
      <c r="F17" s="5"/>
      <c r="G17" s="3"/>
      <c r="H17" s="5"/>
      <c r="I17" s="3"/>
      <c r="J17" s="6"/>
    </row>
    <row r="18" spans="1:10" ht="12.75">
      <c r="A18" s="2" t="s">
        <v>311</v>
      </c>
      <c r="B18" s="2" t="s">
        <v>22</v>
      </c>
      <c r="C18" s="2" t="s">
        <v>23</v>
      </c>
      <c r="D18" s="2" t="s">
        <v>13</v>
      </c>
      <c r="E18" s="2">
        <v>2</v>
      </c>
      <c r="F18" s="2">
        <v>159.63</v>
      </c>
      <c r="G18" s="3">
        <f>F18*E18</f>
        <v>319.26</v>
      </c>
      <c r="H18" s="2">
        <v>19.16</v>
      </c>
      <c r="I18" s="3">
        <f>H18*E18</f>
        <v>38.32</v>
      </c>
      <c r="J18" s="6">
        <f>G18+I18</f>
        <v>357.58</v>
      </c>
    </row>
    <row r="19" spans="1:10" ht="12.75">
      <c r="A19" s="2" t="s">
        <v>312</v>
      </c>
      <c r="B19" s="2" t="s">
        <v>24</v>
      </c>
      <c r="C19" s="2" t="s">
        <v>23</v>
      </c>
      <c r="D19" s="2" t="s">
        <v>13</v>
      </c>
      <c r="E19" s="2">
        <v>75</v>
      </c>
      <c r="F19" s="2">
        <v>2.43</v>
      </c>
      <c r="G19" s="3">
        <f>F19*E19</f>
        <v>182.25</v>
      </c>
      <c r="H19" s="2">
        <v>4.81</v>
      </c>
      <c r="I19" s="3">
        <f>H19*E19</f>
        <v>360.74999999999994</v>
      </c>
      <c r="J19" s="6">
        <f>G19+I19</f>
        <v>543</v>
      </c>
    </row>
    <row r="20" spans="1:10" ht="12.75">
      <c r="A20" s="2" t="s">
        <v>313</v>
      </c>
      <c r="B20" s="2" t="s">
        <v>25</v>
      </c>
      <c r="C20" s="2" t="s">
        <v>23</v>
      </c>
      <c r="D20" s="2" t="s">
        <v>13</v>
      </c>
      <c r="E20" s="2">
        <v>75</v>
      </c>
      <c r="F20" s="2">
        <v>8.42</v>
      </c>
      <c r="G20" s="3">
        <f>F20*E20</f>
        <v>631.5</v>
      </c>
      <c r="H20" s="2">
        <v>11.47</v>
      </c>
      <c r="I20" s="3">
        <f>H20*E20</f>
        <v>860.25</v>
      </c>
      <c r="J20" s="6">
        <f>G20+I20</f>
        <v>1491.75</v>
      </c>
    </row>
    <row r="21" spans="1:10" s="8" customFormat="1" ht="12.75">
      <c r="A21" s="13" t="s">
        <v>26</v>
      </c>
      <c r="B21" s="13" t="s">
        <v>27</v>
      </c>
      <c r="C21" s="24"/>
      <c r="D21" s="24"/>
      <c r="E21" s="24"/>
      <c r="F21" s="24"/>
      <c r="G21" s="25"/>
      <c r="H21" s="24"/>
      <c r="I21" s="25"/>
      <c r="J21" s="12"/>
    </row>
    <row r="22" spans="1:10" ht="12.75">
      <c r="A22" s="2" t="s">
        <v>314</v>
      </c>
      <c r="B22" s="2" t="s">
        <v>28</v>
      </c>
      <c r="C22" s="2" t="s">
        <v>23</v>
      </c>
      <c r="D22" s="2" t="s">
        <v>13</v>
      </c>
      <c r="E22" s="2">
        <v>25</v>
      </c>
      <c r="F22" s="2">
        <v>0</v>
      </c>
      <c r="G22" s="3">
        <f>F22*E22</f>
        <v>0</v>
      </c>
      <c r="H22" s="2">
        <v>2.11</v>
      </c>
      <c r="I22" s="3">
        <f>H22*E22</f>
        <v>52.75</v>
      </c>
      <c r="J22" s="6">
        <f>G22+I22</f>
        <v>52.75</v>
      </c>
    </row>
    <row r="23" spans="1:10" ht="12.75">
      <c r="A23" s="2"/>
      <c r="B23" s="11" t="s">
        <v>466</v>
      </c>
      <c r="C23" s="2"/>
      <c r="D23" s="2"/>
      <c r="E23" s="2"/>
      <c r="F23" s="2"/>
      <c r="G23" s="3"/>
      <c r="H23" s="2"/>
      <c r="I23" s="3"/>
      <c r="J23" s="22">
        <f>SUM(J18:J22)</f>
        <v>2445.08</v>
      </c>
    </row>
    <row r="24" spans="1:10" s="8" customFormat="1" ht="12.75">
      <c r="A24" s="14" t="s">
        <v>29</v>
      </c>
      <c r="B24" s="14" t="s">
        <v>30</v>
      </c>
      <c r="C24" s="30"/>
      <c r="D24" s="30"/>
      <c r="E24" s="30"/>
      <c r="F24" s="30"/>
      <c r="G24" s="31"/>
      <c r="H24" s="30"/>
      <c r="I24" s="31"/>
      <c r="J24" s="32"/>
    </row>
    <row r="25" spans="1:10" s="8" customFormat="1" ht="12.75">
      <c r="A25" s="13" t="s">
        <v>31</v>
      </c>
      <c r="B25" s="13" t="s">
        <v>32</v>
      </c>
      <c r="C25" s="24"/>
      <c r="D25" s="24"/>
      <c r="E25" s="24"/>
      <c r="F25" s="24"/>
      <c r="G25" s="25"/>
      <c r="H25" s="24"/>
      <c r="I25" s="25"/>
      <c r="J25" s="12"/>
    </row>
    <row r="26" spans="1:10" ht="12.75">
      <c r="A26" s="2" t="s">
        <v>315</v>
      </c>
      <c r="B26" s="2" t="s">
        <v>33</v>
      </c>
      <c r="C26" s="2" t="s">
        <v>23</v>
      </c>
      <c r="D26" s="2" t="s">
        <v>34</v>
      </c>
      <c r="E26" s="2">
        <v>10.85</v>
      </c>
      <c r="F26" s="2">
        <v>0</v>
      </c>
      <c r="G26" s="3">
        <f aca="true" t="shared" si="0" ref="G26:G51">F26*E26</f>
        <v>0</v>
      </c>
      <c r="H26" s="2">
        <v>18.45</v>
      </c>
      <c r="I26" s="3">
        <f aca="true" t="shared" si="1" ref="I26:I51">H26*E26</f>
        <v>200.18249999999998</v>
      </c>
      <c r="J26" s="6">
        <f aca="true" t="shared" si="2" ref="J26:J51">G26+I26</f>
        <v>200.18249999999998</v>
      </c>
    </row>
    <row r="27" spans="1:10" ht="12.75">
      <c r="A27" s="2" t="s">
        <v>316</v>
      </c>
      <c r="B27" s="2" t="s">
        <v>35</v>
      </c>
      <c r="C27" s="2" t="s">
        <v>23</v>
      </c>
      <c r="D27" s="2" t="s">
        <v>13</v>
      </c>
      <c r="E27" s="2">
        <v>21.71</v>
      </c>
      <c r="F27" s="2">
        <v>0</v>
      </c>
      <c r="G27" s="3">
        <f t="shared" si="0"/>
        <v>0</v>
      </c>
      <c r="H27" s="2">
        <v>8.61</v>
      </c>
      <c r="I27" s="3">
        <f t="shared" si="1"/>
        <v>186.9231</v>
      </c>
      <c r="J27" s="6">
        <f t="shared" si="2"/>
        <v>186.9231</v>
      </c>
    </row>
    <row r="28" spans="1:10" ht="12.75">
      <c r="A28" s="2" t="s">
        <v>317</v>
      </c>
      <c r="B28" s="2" t="s">
        <v>36</v>
      </c>
      <c r="C28" s="2" t="s">
        <v>23</v>
      </c>
      <c r="D28" s="2" t="s">
        <v>37</v>
      </c>
      <c r="E28" s="2">
        <v>29.86</v>
      </c>
      <c r="F28" s="2">
        <v>0</v>
      </c>
      <c r="G28" s="3">
        <f t="shared" si="0"/>
        <v>0</v>
      </c>
      <c r="H28" s="2">
        <v>2.11</v>
      </c>
      <c r="I28" s="3">
        <f t="shared" si="1"/>
        <v>63.004599999999996</v>
      </c>
      <c r="J28" s="6">
        <f t="shared" si="2"/>
        <v>63.004599999999996</v>
      </c>
    </row>
    <row r="29" spans="1:10" ht="12.75">
      <c r="A29" s="2" t="s">
        <v>318</v>
      </c>
      <c r="B29" s="2" t="s">
        <v>38</v>
      </c>
      <c r="C29" s="2" t="s">
        <v>23</v>
      </c>
      <c r="D29" s="2" t="s">
        <v>13</v>
      </c>
      <c r="E29" s="2">
        <v>50.54</v>
      </c>
      <c r="F29" s="2">
        <v>0</v>
      </c>
      <c r="G29" s="3">
        <f t="shared" si="0"/>
        <v>0</v>
      </c>
      <c r="H29" s="2">
        <v>3.08</v>
      </c>
      <c r="I29" s="3">
        <f t="shared" si="1"/>
        <v>155.6632</v>
      </c>
      <c r="J29" s="6">
        <f t="shared" si="2"/>
        <v>155.6632</v>
      </c>
    </row>
    <row r="30" spans="1:10" ht="12.75">
      <c r="A30" s="2" t="s">
        <v>319</v>
      </c>
      <c r="B30" s="2" t="s">
        <v>39</v>
      </c>
      <c r="C30" s="2" t="s">
        <v>23</v>
      </c>
      <c r="D30" s="2" t="s">
        <v>13</v>
      </c>
      <c r="E30" s="2">
        <v>527.94</v>
      </c>
      <c r="F30" s="2">
        <v>0</v>
      </c>
      <c r="G30" s="3">
        <f t="shared" si="0"/>
        <v>0</v>
      </c>
      <c r="H30" s="2">
        <v>2.11</v>
      </c>
      <c r="I30" s="3">
        <f t="shared" si="1"/>
        <v>1113.9534</v>
      </c>
      <c r="J30" s="6">
        <f t="shared" si="2"/>
        <v>1113.9534</v>
      </c>
    </row>
    <row r="31" spans="1:10" ht="12.75">
      <c r="A31" s="2" t="s">
        <v>320</v>
      </c>
      <c r="B31" s="2" t="s">
        <v>40</v>
      </c>
      <c r="C31" s="2" t="s">
        <v>23</v>
      </c>
      <c r="D31" s="2" t="s">
        <v>13</v>
      </c>
      <c r="E31" s="2">
        <v>8.55</v>
      </c>
      <c r="F31" s="2">
        <v>0.63</v>
      </c>
      <c r="G31" s="3">
        <f t="shared" si="0"/>
        <v>5.386500000000001</v>
      </c>
      <c r="H31" s="2">
        <v>2.64</v>
      </c>
      <c r="I31" s="3">
        <f t="shared" si="1"/>
        <v>22.572000000000003</v>
      </c>
      <c r="J31" s="6">
        <f t="shared" si="2"/>
        <v>27.958500000000004</v>
      </c>
    </row>
    <row r="32" spans="1:10" ht="12.75">
      <c r="A32" s="2" t="s">
        <v>321</v>
      </c>
      <c r="B32" s="2" t="s">
        <v>41</v>
      </c>
      <c r="C32" s="2" t="s">
        <v>23</v>
      </c>
      <c r="D32" s="2" t="s">
        <v>13</v>
      </c>
      <c r="E32" s="2">
        <v>3.26</v>
      </c>
      <c r="F32" s="2">
        <v>0</v>
      </c>
      <c r="G32" s="3">
        <f t="shared" si="0"/>
        <v>0</v>
      </c>
      <c r="H32" s="2">
        <v>4.25</v>
      </c>
      <c r="I32" s="3">
        <f t="shared" si="1"/>
        <v>13.854999999999999</v>
      </c>
      <c r="J32" s="6">
        <f t="shared" si="2"/>
        <v>13.854999999999999</v>
      </c>
    </row>
    <row r="33" spans="1:10" ht="12.75">
      <c r="A33" s="2" t="s">
        <v>322</v>
      </c>
      <c r="B33" s="2" t="s">
        <v>42</v>
      </c>
      <c r="C33" s="2" t="s">
        <v>23</v>
      </c>
      <c r="D33" s="2" t="s">
        <v>13</v>
      </c>
      <c r="E33" s="2">
        <v>209.11</v>
      </c>
      <c r="F33" s="2">
        <v>0</v>
      </c>
      <c r="G33" s="3">
        <f t="shared" si="0"/>
        <v>0</v>
      </c>
      <c r="H33" s="2">
        <v>2.15</v>
      </c>
      <c r="I33" s="3">
        <f t="shared" si="1"/>
        <v>449.5865</v>
      </c>
      <c r="J33" s="6">
        <f t="shared" si="2"/>
        <v>449.5865</v>
      </c>
    </row>
    <row r="34" spans="1:10" ht="12.75">
      <c r="A34" s="2" t="s">
        <v>323</v>
      </c>
      <c r="B34" s="2" t="s">
        <v>43</v>
      </c>
      <c r="C34" s="2" t="s">
        <v>23</v>
      </c>
      <c r="D34" s="2" t="s">
        <v>13</v>
      </c>
      <c r="E34" s="2">
        <v>16.8</v>
      </c>
      <c r="F34" s="2">
        <v>0</v>
      </c>
      <c r="G34" s="3">
        <f t="shared" si="0"/>
        <v>0</v>
      </c>
      <c r="H34" s="2">
        <v>2.11</v>
      </c>
      <c r="I34" s="3">
        <f t="shared" si="1"/>
        <v>35.448</v>
      </c>
      <c r="J34" s="6">
        <f t="shared" si="2"/>
        <v>35.448</v>
      </c>
    </row>
    <row r="35" spans="1:10" ht="12.75">
      <c r="A35" s="2" t="s">
        <v>324</v>
      </c>
      <c r="B35" s="2" t="s">
        <v>44</v>
      </c>
      <c r="C35" s="2" t="s">
        <v>23</v>
      </c>
      <c r="D35" s="2" t="s">
        <v>13</v>
      </c>
      <c r="E35" s="2">
        <v>277.42</v>
      </c>
      <c r="F35" s="2">
        <v>0</v>
      </c>
      <c r="G35" s="3">
        <f t="shared" si="0"/>
        <v>0</v>
      </c>
      <c r="H35" s="2">
        <v>2.1</v>
      </c>
      <c r="I35" s="3">
        <f t="shared" si="1"/>
        <v>582.5820000000001</v>
      </c>
      <c r="J35" s="6">
        <f t="shared" si="2"/>
        <v>582.5820000000001</v>
      </c>
    </row>
    <row r="36" spans="1:10" ht="12.75">
      <c r="A36" s="2" t="s">
        <v>325</v>
      </c>
      <c r="B36" s="2" t="s">
        <v>45</v>
      </c>
      <c r="C36" s="2" t="s">
        <v>23</v>
      </c>
      <c r="D36" s="2" t="s">
        <v>13</v>
      </c>
      <c r="E36" s="2">
        <v>12.42</v>
      </c>
      <c r="F36" s="2">
        <v>0</v>
      </c>
      <c r="G36" s="3">
        <f t="shared" si="0"/>
        <v>0</v>
      </c>
      <c r="H36" s="2">
        <v>6.6</v>
      </c>
      <c r="I36" s="3">
        <f t="shared" si="1"/>
        <v>81.972</v>
      </c>
      <c r="J36" s="6">
        <f t="shared" si="2"/>
        <v>81.972</v>
      </c>
    </row>
    <row r="37" spans="1:10" ht="12.75">
      <c r="A37" s="2" t="s">
        <v>326</v>
      </c>
      <c r="B37" s="2" t="s">
        <v>46</v>
      </c>
      <c r="C37" s="2" t="s">
        <v>23</v>
      </c>
      <c r="D37" s="2" t="s">
        <v>13</v>
      </c>
      <c r="E37" s="2">
        <v>113.65</v>
      </c>
      <c r="F37" s="2">
        <v>0</v>
      </c>
      <c r="G37" s="3">
        <f t="shared" si="0"/>
        <v>0</v>
      </c>
      <c r="H37" s="2">
        <v>10.47</v>
      </c>
      <c r="I37" s="3">
        <f t="shared" si="1"/>
        <v>1189.9155</v>
      </c>
      <c r="J37" s="6">
        <f t="shared" si="2"/>
        <v>1189.9155</v>
      </c>
    </row>
    <row r="38" spans="1:10" ht="12.75">
      <c r="A38" s="2" t="s">
        <v>327</v>
      </c>
      <c r="B38" s="2" t="s">
        <v>47</v>
      </c>
      <c r="C38" s="2" t="s">
        <v>23</v>
      </c>
      <c r="D38" s="2" t="s">
        <v>13</v>
      </c>
      <c r="E38" s="2">
        <v>59.04</v>
      </c>
      <c r="F38" s="2">
        <v>0</v>
      </c>
      <c r="G38" s="3">
        <f t="shared" si="0"/>
        <v>0</v>
      </c>
      <c r="H38" s="2">
        <v>7.51</v>
      </c>
      <c r="I38" s="3">
        <f t="shared" si="1"/>
        <v>443.3904</v>
      </c>
      <c r="J38" s="6">
        <f t="shared" si="2"/>
        <v>443.3904</v>
      </c>
    </row>
    <row r="39" spans="1:10" ht="12.75">
      <c r="A39" s="2" t="s">
        <v>328</v>
      </c>
      <c r="B39" s="2" t="s">
        <v>48</v>
      </c>
      <c r="C39" s="2" t="s">
        <v>23</v>
      </c>
      <c r="D39" s="2" t="s">
        <v>17</v>
      </c>
      <c r="E39" s="2">
        <v>13</v>
      </c>
      <c r="F39" s="2">
        <v>0</v>
      </c>
      <c r="G39" s="3">
        <f t="shared" si="0"/>
        <v>0</v>
      </c>
      <c r="H39" s="2">
        <v>6.98</v>
      </c>
      <c r="I39" s="3">
        <f t="shared" si="1"/>
        <v>90.74000000000001</v>
      </c>
      <c r="J39" s="6">
        <f t="shared" si="2"/>
        <v>90.74000000000001</v>
      </c>
    </row>
    <row r="40" spans="1:10" ht="12.75">
      <c r="A40" s="2" t="s">
        <v>329</v>
      </c>
      <c r="B40" s="2" t="s">
        <v>49</v>
      </c>
      <c r="C40" s="2" t="s">
        <v>23</v>
      </c>
      <c r="D40" s="2" t="s">
        <v>37</v>
      </c>
      <c r="E40" s="2">
        <v>144.55</v>
      </c>
      <c r="F40" s="2">
        <v>0</v>
      </c>
      <c r="G40" s="3">
        <f t="shared" si="0"/>
        <v>0</v>
      </c>
      <c r="H40" s="2">
        <v>1.04</v>
      </c>
      <c r="I40" s="3">
        <f t="shared" si="1"/>
        <v>150.33200000000002</v>
      </c>
      <c r="J40" s="6">
        <f t="shared" si="2"/>
        <v>150.33200000000002</v>
      </c>
    </row>
    <row r="41" spans="1:10" ht="12.75">
      <c r="A41" s="2" t="s">
        <v>330</v>
      </c>
      <c r="B41" s="2" t="s">
        <v>50</v>
      </c>
      <c r="C41" s="2" t="s">
        <v>23</v>
      </c>
      <c r="D41" s="2" t="s">
        <v>13</v>
      </c>
      <c r="E41" s="2">
        <v>27.72</v>
      </c>
      <c r="F41" s="2">
        <v>0</v>
      </c>
      <c r="G41" s="3">
        <f t="shared" si="0"/>
        <v>0</v>
      </c>
      <c r="H41" s="2">
        <v>3.85</v>
      </c>
      <c r="I41" s="3">
        <f t="shared" si="1"/>
        <v>106.722</v>
      </c>
      <c r="J41" s="6">
        <f t="shared" si="2"/>
        <v>106.722</v>
      </c>
    </row>
    <row r="42" spans="1:10" ht="12.75">
      <c r="A42" s="2" t="s">
        <v>331</v>
      </c>
      <c r="B42" s="2" t="s">
        <v>51</v>
      </c>
      <c r="C42" s="2" t="s">
        <v>52</v>
      </c>
      <c r="D42" s="2" t="s">
        <v>13</v>
      </c>
      <c r="E42" s="2">
        <v>77.44</v>
      </c>
      <c r="F42" s="2">
        <v>2.41</v>
      </c>
      <c r="G42" s="3">
        <f t="shared" si="0"/>
        <v>186.6304</v>
      </c>
      <c r="H42" s="2">
        <v>0</v>
      </c>
      <c r="I42" s="3">
        <f t="shared" si="1"/>
        <v>0</v>
      </c>
      <c r="J42" s="6">
        <f t="shared" si="2"/>
        <v>186.6304</v>
      </c>
    </row>
    <row r="43" spans="1:10" ht="12.75">
      <c r="A43" s="2" t="s">
        <v>332</v>
      </c>
      <c r="B43" s="2" t="s">
        <v>53</v>
      </c>
      <c r="C43" s="2" t="s">
        <v>52</v>
      </c>
      <c r="D43" s="2" t="s">
        <v>13</v>
      </c>
      <c r="E43" s="2">
        <v>0.36</v>
      </c>
      <c r="F43" s="2">
        <v>22.98</v>
      </c>
      <c r="G43" s="3">
        <f t="shared" si="0"/>
        <v>8.2728</v>
      </c>
      <c r="H43" s="2">
        <v>0</v>
      </c>
      <c r="I43" s="3">
        <f t="shared" si="1"/>
        <v>0</v>
      </c>
      <c r="J43" s="6">
        <f t="shared" si="2"/>
        <v>8.2728</v>
      </c>
    </row>
    <row r="44" spans="1:10" ht="12.75">
      <c r="A44" s="2" t="s">
        <v>333</v>
      </c>
      <c r="B44" s="2" t="s">
        <v>54</v>
      </c>
      <c r="C44" s="2" t="s">
        <v>52</v>
      </c>
      <c r="D44" s="2" t="s">
        <v>13</v>
      </c>
      <c r="E44" s="2">
        <v>358.13</v>
      </c>
      <c r="F44" s="2">
        <v>9.77</v>
      </c>
      <c r="G44" s="3">
        <f t="shared" si="0"/>
        <v>3498.9300999999996</v>
      </c>
      <c r="H44" s="2">
        <v>0</v>
      </c>
      <c r="I44" s="3">
        <f t="shared" si="1"/>
        <v>0</v>
      </c>
      <c r="J44" s="6">
        <f t="shared" si="2"/>
        <v>3498.9300999999996</v>
      </c>
    </row>
    <row r="45" spans="1:10" ht="12.75">
      <c r="A45" s="2" t="s">
        <v>334</v>
      </c>
      <c r="B45" s="2" t="s">
        <v>55</v>
      </c>
      <c r="C45" s="2" t="s">
        <v>52</v>
      </c>
      <c r="D45" s="2" t="s">
        <v>13</v>
      </c>
      <c r="E45" s="2">
        <v>307.12</v>
      </c>
      <c r="F45" s="2">
        <v>7.51</v>
      </c>
      <c r="G45" s="3">
        <f t="shared" si="0"/>
        <v>2306.4712</v>
      </c>
      <c r="H45" s="2">
        <v>0</v>
      </c>
      <c r="I45" s="3">
        <f t="shared" si="1"/>
        <v>0</v>
      </c>
      <c r="J45" s="6">
        <f t="shared" si="2"/>
        <v>2306.4712</v>
      </c>
    </row>
    <row r="46" spans="1:10" ht="12.75">
      <c r="A46" s="2" t="s">
        <v>335</v>
      </c>
      <c r="B46" s="2" t="s">
        <v>56</v>
      </c>
      <c r="C46" s="2" t="s">
        <v>52</v>
      </c>
      <c r="D46" s="2" t="s">
        <v>13</v>
      </c>
      <c r="E46" s="2">
        <v>26.31</v>
      </c>
      <c r="F46" s="2">
        <v>1.39</v>
      </c>
      <c r="G46" s="3">
        <f t="shared" si="0"/>
        <v>36.570899999999995</v>
      </c>
      <c r="H46" s="2">
        <v>0</v>
      </c>
      <c r="I46" s="3">
        <f t="shared" si="1"/>
        <v>0</v>
      </c>
      <c r="J46" s="6">
        <f t="shared" si="2"/>
        <v>36.570899999999995</v>
      </c>
    </row>
    <row r="47" spans="1:10" ht="12.75">
      <c r="A47" s="2" t="s">
        <v>336</v>
      </c>
      <c r="B47" s="2" t="s">
        <v>57</v>
      </c>
      <c r="C47" s="2" t="s">
        <v>52</v>
      </c>
      <c r="D47" s="2" t="s">
        <v>37</v>
      </c>
      <c r="E47" s="2">
        <v>2.46</v>
      </c>
      <c r="F47" s="2">
        <v>4.02</v>
      </c>
      <c r="G47" s="3">
        <f t="shared" si="0"/>
        <v>9.889199999999999</v>
      </c>
      <c r="H47" s="2">
        <v>0</v>
      </c>
      <c r="I47" s="3">
        <f t="shared" si="1"/>
        <v>0</v>
      </c>
      <c r="J47" s="6">
        <f t="shared" si="2"/>
        <v>9.889199999999999</v>
      </c>
    </row>
    <row r="48" spans="1:10" ht="12.75">
      <c r="A48" s="2" t="s">
        <v>337</v>
      </c>
      <c r="B48" s="2" t="s">
        <v>58</v>
      </c>
      <c r="C48" s="2" t="s">
        <v>52</v>
      </c>
      <c r="D48" s="2" t="s">
        <v>13</v>
      </c>
      <c r="E48" s="2">
        <v>17.1</v>
      </c>
      <c r="F48" s="2">
        <v>3.49</v>
      </c>
      <c r="G48" s="3">
        <f t="shared" si="0"/>
        <v>59.67900000000001</v>
      </c>
      <c r="H48" s="2">
        <v>0</v>
      </c>
      <c r="I48" s="3">
        <f t="shared" si="1"/>
        <v>0</v>
      </c>
      <c r="J48" s="6">
        <f t="shared" si="2"/>
        <v>59.67900000000001</v>
      </c>
    </row>
    <row r="49" spans="1:10" ht="12.75">
      <c r="A49" s="2" t="s">
        <v>338</v>
      </c>
      <c r="B49" s="2" t="s">
        <v>59</v>
      </c>
      <c r="C49" s="2" t="s">
        <v>52</v>
      </c>
      <c r="D49" s="2" t="s">
        <v>17</v>
      </c>
      <c r="E49" s="2">
        <v>47</v>
      </c>
      <c r="F49" s="2">
        <v>2.28</v>
      </c>
      <c r="G49" s="3">
        <f t="shared" si="0"/>
        <v>107.16</v>
      </c>
      <c r="H49" s="2">
        <v>0</v>
      </c>
      <c r="I49" s="3">
        <f t="shared" si="1"/>
        <v>0</v>
      </c>
      <c r="J49" s="6">
        <f t="shared" si="2"/>
        <v>107.16</v>
      </c>
    </row>
    <row r="50" spans="1:10" ht="12.75">
      <c r="A50" s="2" t="s">
        <v>339</v>
      </c>
      <c r="B50" s="2" t="s">
        <v>60</v>
      </c>
      <c r="C50" s="2" t="s">
        <v>52</v>
      </c>
      <c r="D50" s="2" t="s">
        <v>37</v>
      </c>
      <c r="E50" s="2">
        <v>76.86</v>
      </c>
      <c r="F50" s="2">
        <v>1.04</v>
      </c>
      <c r="G50" s="3">
        <f t="shared" si="0"/>
        <v>79.9344</v>
      </c>
      <c r="H50" s="2">
        <v>0</v>
      </c>
      <c r="I50" s="3">
        <f t="shared" si="1"/>
        <v>0</v>
      </c>
      <c r="J50" s="6">
        <f t="shared" si="2"/>
        <v>79.9344</v>
      </c>
    </row>
    <row r="51" spans="1:10" ht="12.75">
      <c r="A51" s="2" t="s">
        <v>340</v>
      </c>
      <c r="B51" s="2" t="s">
        <v>61</v>
      </c>
      <c r="C51" s="2" t="s">
        <v>52</v>
      </c>
      <c r="D51" s="2" t="s">
        <v>13</v>
      </c>
      <c r="E51" s="2">
        <v>3.49</v>
      </c>
      <c r="F51" s="2">
        <v>2.11</v>
      </c>
      <c r="G51" s="3">
        <f t="shared" si="0"/>
        <v>7.3639</v>
      </c>
      <c r="H51" s="2">
        <v>0</v>
      </c>
      <c r="I51" s="3">
        <f t="shared" si="1"/>
        <v>0</v>
      </c>
      <c r="J51" s="6">
        <f t="shared" si="2"/>
        <v>7.3639</v>
      </c>
    </row>
    <row r="52" spans="1:10" s="8" customFormat="1" ht="12.75">
      <c r="A52" s="13" t="s">
        <v>62</v>
      </c>
      <c r="B52" s="13" t="s">
        <v>63</v>
      </c>
      <c r="C52" s="24"/>
      <c r="D52" s="24"/>
      <c r="E52" s="24"/>
      <c r="F52" s="24"/>
      <c r="G52" s="25"/>
      <c r="H52" s="24"/>
      <c r="I52" s="25"/>
      <c r="J52" s="12"/>
    </row>
    <row r="53" spans="1:10" ht="12.75">
      <c r="A53" s="2" t="s">
        <v>341</v>
      </c>
      <c r="B53" s="2" t="s">
        <v>64</v>
      </c>
      <c r="C53" s="2" t="s">
        <v>23</v>
      </c>
      <c r="D53" s="2" t="s">
        <v>34</v>
      </c>
      <c r="E53" s="2">
        <v>160</v>
      </c>
      <c r="F53" s="2">
        <v>23.29</v>
      </c>
      <c r="G53" s="3">
        <f>F53*E53</f>
        <v>3726.3999999999996</v>
      </c>
      <c r="H53" s="2">
        <v>3.7</v>
      </c>
      <c r="I53" s="3">
        <f>H53*E53</f>
        <v>592</v>
      </c>
      <c r="J53" s="6">
        <f>G53+I53</f>
        <v>4318.4</v>
      </c>
    </row>
    <row r="54" spans="1:10" ht="12.75">
      <c r="A54" s="2"/>
      <c r="B54" s="11" t="s">
        <v>466</v>
      </c>
      <c r="C54" s="2"/>
      <c r="D54" s="2"/>
      <c r="E54" s="2"/>
      <c r="F54" s="2"/>
      <c r="G54" s="3"/>
      <c r="H54" s="2"/>
      <c r="I54" s="3"/>
      <c r="J54" s="22">
        <f>SUM(J26:J53)</f>
        <v>15511.530599999998</v>
      </c>
    </row>
    <row r="55" spans="1:10" s="8" customFormat="1" ht="12.75">
      <c r="A55" s="14" t="s">
        <v>65</v>
      </c>
      <c r="B55" s="14" t="s">
        <v>66</v>
      </c>
      <c r="C55" s="30"/>
      <c r="D55" s="30"/>
      <c r="E55" s="30"/>
      <c r="F55" s="30"/>
      <c r="G55" s="31"/>
      <c r="H55" s="30"/>
      <c r="I55" s="31"/>
      <c r="J55" s="32"/>
    </row>
    <row r="56" spans="1:10" s="8" customFormat="1" ht="12.75">
      <c r="A56" s="13" t="s">
        <v>67</v>
      </c>
      <c r="B56" s="13" t="s">
        <v>68</v>
      </c>
      <c r="C56" s="24"/>
      <c r="D56" s="24"/>
      <c r="E56" s="24"/>
      <c r="F56" s="24"/>
      <c r="G56" s="25"/>
      <c r="H56" s="24"/>
      <c r="I56" s="25"/>
      <c r="J56" s="12"/>
    </row>
    <row r="57" spans="1:10" ht="12.75">
      <c r="A57" s="2" t="s">
        <v>342</v>
      </c>
      <c r="B57" s="2" t="s">
        <v>69</v>
      </c>
      <c r="C57" s="2" t="s">
        <v>23</v>
      </c>
      <c r="D57" s="2" t="s">
        <v>17</v>
      </c>
      <c r="E57" s="2">
        <v>160</v>
      </c>
      <c r="F57" s="2">
        <v>1.44</v>
      </c>
      <c r="G57" s="3">
        <f aca="true" t="shared" si="3" ref="G57:G63">F57*E57</f>
        <v>230.39999999999998</v>
      </c>
      <c r="H57" s="2">
        <v>1.4</v>
      </c>
      <c r="I57" s="3">
        <f aca="true" t="shared" si="4" ref="I57:I63">H57*E57</f>
        <v>224</v>
      </c>
      <c r="J57" s="6">
        <f aca="true" t="shared" si="5" ref="J57:J63">G57+I57</f>
        <v>454.4</v>
      </c>
    </row>
    <row r="58" spans="1:10" ht="12.75">
      <c r="A58" s="2" t="s">
        <v>343</v>
      </c>
      <c r="B58" s="2" t="s">
        <v>70</v>
      </c>
      <c r="C58" s="2" t="s">
        <v>23</v>
      </c>
      <c r="D58" s="2" t="s">
        <v>13</v>
      </c>
      <c r="E58" s="2">
        <v>3.15</v>
      </c>
      <c r="F58" s="2">
        <v>1.31</v>
      </c>
      <c r="G58" s="3">
        <f t="shared" si="3"/>
        <v>4.1265</v>
      </c>
      <c r="H58" s="2">
        <v>1.56</v>
      </c>
      <c r="I58" s="3">
        <f t="shared" si="4"/>
        <v>4.914</v>
      </c>
      <c r="J58" s="6">
        <f t="shared" si="5"/>
        <v>9.0405</v>
      </c>
    </row>
    <row r="59" spans="1:10" ht="12.75">
      <c r="A59" s="2" t="s">
        <v>344</v>
      </c>
      <c r="B59" s="2" t="s">
        <v>71</v>
      </c>
      <c r="C59" s="2" t="s">
        <v>23</v>
      </c>
      <c r="D59" s="2" t="s">
        <v>37</v>
      </c>
      <c r="E59" s="2">
        <v>27.4</v>
      </c>
      <c r="F59" s="2">
        <v>0</v>
      </c>
      <c r="G59" s="3">
        <f t="shared" si="3"/>
        <v>0</v>
      </c>
      <c r="H59" s="2">
        <v>2.24</v>
      </c>
      <c r="I59" s="3">
        <f t="shared" si="4"/>
        <v>61.376000000000005</v>
      </c>
      <c r="J59" s="6">
        <f t="shared" si="5"/>
        <v>61.376000000000005</v>
      </c>
    </row>
    <row r="60" spans="1:10" ht="12.75">
      <c r="A60" s="2" t="s">
        <v>345</v>
      </c>
      <c r="B60" s="2" t="s">
        <v>72</v>
      </c>
      <c r="C60" s="2" t="s">
        <v>52</v>
      </c>
      <c r="D60" s="2" t="s">
        <v>37</v>
      </c>
      <c r="E60" s="2">
        <v>57.69</v>
      </c>
      <c r="F60" s="2">
        <v>12.12</v>
      </c>
      <c r="G60" s="3">
        <f t="shared" si="3"/>
        <v>699.2027999999999</v>
      </c>
      <c r="H60" s="2">
        <v>0</v>
      </c>
      <c r="I60" s="3">
        <f t="shared" si="4"/>
        <v>0</v>
      </c>
      <c r="J60" s="6">
        <f t="shared" si="5"/>
        <v>699.2027999999999</v>
      </c>
    </row>
    <row r="61" spans="1:10" ht="12.75">
      <c r="A61" s="2" t="s">
        <v>346</v>
      </c>
      <c r="B61" s="2" t="s">
        <v>73</v>
      </c>
      <c r="C61" s="2" t="s">
        <v>23</v>
      </c>
      <c r="D61" s="2" t="s">
        <v>13</v>
      </c>
      <c r="E61" s="2">
        <v>95.91</v>
      </c>
      <c r="F61" s="2">
        <v>7.7</v>
      </c>
      <c r="G61" s="3">
        <f t="shared" si="3"/>
        <v>738.507</v>
      </c>
      <c r="H61" s="2">
        <v>11.76</v>
      </c>
      <c r="I61" s="3">
        <f t="shared" si="4"/>
        <v>1127.9016</v>
      </c>
      <c r="J61" s="6">
        <f t="shared" si="5"/>
        <v>1866.4085999999998</v>
      </c>
    </row>
    <row r="62" spans="1:10" ht="12.75">
      <c r="A62" s="2" t="s">
        <v>347</v>
      </c>
      <c r="B62" s="2" t="s">
        <v>74</v>
      </c>
      <c r="C62" s="2" t="s">
        <v>23</v>
      </c>
      <c r="D62" s="2" t="s">
        <v>37</v>
      </c>
      <c r="E62" s="2">
        <v>27.4</v>
      </c>
      <c r="F62" s="2">
        <v>6.9</v>
      </c>
      <c r="G62" s="3">
        <f t="shared" si="3"/>
        <v>189.06</v>
      </c>
      <c r="H62" s="2">
        <v>8.7</v>
      </c>
      <c r="I62" s="3">
        <f t="shared" si="4"/>
        <v>238.37999999999997</v>
      </c>
      <c r="J62" s="6">
        <f t="shared" si="5"/>
        <v>427.43999999999994</v>
      </c>
    </row>
    <row r="63" spans="1:10" ht="25.5">
      <c r="A63" s="2" t="s">
        <v>348</v>
      </c>
      <c r="B63" s="2" t="s">
        <v>75</v>
      </c>
      <c r="C63" s="2" t="s">
        <v>23</v>
      </c>
      <c r="D63" s="2" t="s">
        <v>37</v>
      </c>
      <c r="E63" s="2">
        <v>30.33</v>
      </c>
      <c r="F63" s="2">
        <v>41.48</v>
      </c>
      <c r="G63" s="3">
        <f t="shared" si="3"/>
        <v>1258.0883999999999</v>
      </c>
      <c r="H63" s="2">
        <v>14.02</v>
      </c>
      <c r="I63" s="3">
        <f t="shared" si="4"/>
        <v>425.22659999999996</v>
      </c>
      <c r="J63" s="6">
        <f t="shared" si="5"/>
        <v>1683.3149999999998</v>
      </c>
    </row>
    <row r="64" spans="1:10" ht="12.75">
      <c r="A64" s="2"/>
      <c r="B64" s="11" t="s">
        <v>466</v>
      </c>
      <c r="C64" s="2"/>
      <c r="D64" s="2"/>
      <c r="E64" s="2"/>
      <c r="F64" s="2"/>
      <c r="G64" s="3"/>
      <c r="H64" s="2"/>
      <c r="I64" s="3"/>
      <c r="J64" s="22">
        <f>SUM(J57:J63)</f>
        <v>5201.1829</v>
      </c>
    </row>
    <row r="65" spans="1:10" s="8" customFormat="1" ht="12.75">
      <c r="A65" s="14" t="s">
        <v>76</v>
      </c>
      <c r="B65" s="14" t="s">
        <v>77</v>
      </c>
      <c r="C65" s="30"/>
      <c r="D65" s="30"/>
      <c r="E65" s="30"/>
      <c r="F65" s="30"/>
      <c r="G65" s="31"/>
      <c r="H65" s="30"/>
      <c r="I65" s="31"/>
      <c r="J65" s="32"/>
    </row>
    <row r="66" spans="1:10" s="8" customFormat="1" ht="12.75">
      <c r="A66" s="13" t="s">
        <v>78</v>
      </c>
      <c r="B66" s="13" t="s">
        <v>79</v>
      </c>
      <c r="C66" s="24"/>
      <c r="D66" s="24"/>
      <c r="E66" s="24"/>
      <c r="F66" s="24"/>
      <c r="G66" s="25"/>
      <c r="H66" s="24"/>
      <c r="I66" s="25"/>
      <c r="J66" s="12"/>
    </row>
    <row r="67" spans="1:10" ht="12.75">
      <c r="A67" s="2" t="s">
        <v>349</v>
      </c>
      <c r="B67" s="2" t="s">
        <v>80</v>
      </c>
      <c r="C67" s="2" t="s">
        <v>23</v>
      </c>
      <c r="D67" s="2" t="s">
        <v>17</v>
      </c>
      <c r="E67" s="2">
        <v>13</v>
      </c>
      <c r="F67" s="2">
        <v>3.47</v>
      </c>
      <c r="G67" s="3">
        <f aca="true" t="shared" si="6" ref="G67:G81">F67*E67</f>
        <v>45.11</v>
      </c>
      <c r="H67" s="2">
        <v>2.42</v>
      </c>
      <c r="I67" s="3">
        <f aca="true" t="shared" si="7" ref="I67:I81">H67*E67</f>
        <v>31.46</v>
      </c>
      <c r="J67" s="6">
        <f aca="true" t="shared" si="8" ref="J67:J81">G67+I67</f>
        <v>76.57</v>
      </c>
    </row>
    <row r="68" spans="1:10" ht="12.75">
      <c r="A68" s="2" t="s">
        <v>350</v>
      </c>
      <c r="B68" s="2" t="s">
        <v>81</v>
      </c>
      <c r="C68" s="2" t="s">
        <v>23</v>
      </c>
      <c r="D68" s="2" t="s">
        <v>17</v>
      </c>
      <c r="E68" s="2">
        <v>1</v>
      </c>
      <c r="F68" s="2">
        <v>4.08</v>
      </c>
      <c r="G68" s="3">
        <f t="shared" si="6"/>
        <v>4.08</v>
      </c>
      <c r="H68" s="2">
        <v>2.42</v>
      </c>
      <c r="I68" s="3">
        <f t="shared" si="7"/>
        <v>2.42</v>
      </c>
      <c r="J68" s="6">
        <f t="shared" si="8"/>
        <v>6.5</v>
      </c>
    </row>
    <row r="69" spans="1:10" ht="12.75">
      <c r="A69" s="2" t="s">
        <v>351</v>
      </c>
      <c r="B69" s="2" t="s">
        <v>82</v>
      </c>
      <c r="C69" s="2" t="s">
        <v>23</v>
      </c>
      <c r="D69" s="2" t="s">
        <v>17</v>
      </c>
      <c r="E69" s="2">
        <v>2</v>
      </c>
      <c r="F69" s="2">
        <v>5.49</v>
      </c>
      <c r="G69" s="3">
        <f t="shared" si="6"/>
        <v>10.98</v>
      </c>
      <c r="H69" s="2">
        <v>2.55</v>
      </c>
      <c r="I69" s="3">
        <f t="shared" si="7"/>
        <v>5.1</v>
      </c>
      <c r="J69" s="6">
        <f t="shared" si="8"/>
        <v>16.08</v>
      </c>
    </row>
    <row r="70" spans="1:10" ht="12.75">
      <c r="A70" s="2" t="s">
        <v>352</v>
      </c>
      <c r="B70" s="2" t="s">
        <v>83</v>
      </c>
      <c r="C70" s="2" t="s">
        <v>23</v>
      </c>
      <c r="D70" s="2" t="s">
        <v>17</v>
      </c>
      <c r="E70" s="2">
        <v>7</v>
      </c>
      <c r="F70" s="2">
        <v>1.07</v>
      </c>
      <c r="G70" s="3">
        <f t="shared" si="6"/>
        <v>7.49</v>
      </c>
      <c r="H70" s="2">
        <v>2.55</v>
      </c>
      <c r="I70" s="3">
        <f t="shared" si="7"/>
        <v>17.849999999999998</v>
      </c>
      <c r="J70" s="6">
        <f t="shared" si="8"/>
        <v>25.339999999999996</v>
      </c>
    </row>
    <row r="71" spans="1:10" ht="12.75">
      <c r="A71" s="2" t="s">
        <v>353</v>
      </c>
      <c r="B71" s="2" t="s">
        <v>84</v>
      </c>
      <c r="C71" s="2" t="s">
        <v>23</v>
      </c>
      <c r="D71" s="2" t="s">
        <v>17</v>
      </c>
      <c r="E71" s="2">
        <v>4</v>
      </c>
      <c r="F71" s="2">
        <v>2.52</v>
      </c>
      <c r="G71" s="3">
        <f t="shared" si="6"/>
        <v>10.08</v>
      </c>
      <c r="H71" s="2">
        <v>2.55</v>
      </c>
      <c r="I71" s="3">
        <f t="shared" si="7"/>
        <v>10.2</v>
      </c>
      <c r="J71" s="6">
        <f t="shared" si="8"/>
        <v>20.28</v>
      </c>
    </row>
    <row r="72" spans="1:10" ht="12.75">
      <c r="A72" s="2" t="s">
        <v>354</v>
      </c>
      <c r="B72" s="2" t="s">
        <v>85</v>
      </c>
      <c r="C72" s="2" t="s">
        <v>23</v>
      </c>
      <c r="D72" s="2" t="s">
        <v>17</v>
      </c>
      <c r="E72" s="2">
        <v>13</v>
      </c>
      <c r="F72" s="2">
        <v>4.32</v>
      </c>
      <c r="G72" s="3">
        <f t="shared" si="6"/>
        <v>56.160000000000004</v>
      </c>
      <c r="H72" s="2">
        <v>1.21</v>
      </c>
      <c r="I72" s="3">
        <f t="shared" si="7"/>
        <v>15.73</v>
      </c>
      <c r="J72" s="6">
        <f t="shared" si="8"/>
        <v>71.89</v>
      </c>
    </row>
    <row r="73" spans="1:10" ht="12.75">
      <c r="A73" s="2" t="s">
        <v>355</v>
      </c>
      <c r="B73" s="2" t="s">
        <v>86</v>
      </c>
      <c r="C73" s="2" t="s">
        <v>23</v>
      </c>
      <c r="D73" s="2" t="s">
        <v>37</v>
      </c>
      <c r="E73" s="2">
        <v>53.78</v>
      </c>
      <c r="F73" s="2">
        <v>1.82</v>
      </c>
      <c r="G73" s="3">
        <f t="shared" si="6"/>
        <v>97.87960000000001</v>
      </c>
      <c r="H73" s="2">
        <v>1.61</v>
      </c>
      <c r="I73" s="3">
        <f t="shared" si="7"/>
        <v>86.5858</v>
      </c>
      <c r="J73" s="6">
        <f t="shared" si="8"/>
        <v>184.46540000000002</v>
      </c>
    </row>
    <row r="74" spans="1:10" ht="12.75">
      <c r="A74" s="2" t="s">
        <v>356</v>
      </c>
      <c r="B74" s="2" t="s">
        <v>87</v>
      </c>
      <c r="C74" s="2" t="s">
        <v>23</v>
      </c>
      <c r="D74" s="2" t="s">
        <v>37</v>
      </c>
      <c r="E74" s="2">
        <v>10.37</v>
      </c>
      <c r="F74" s="2">
        <v>4.47</v>
      </c>
      <c r="G74" s="3">
        <f t="shared" si="6"/>
        <v>46.353899999999996</v>
      </c>
      <c r="H74" s="2">
        <v>1.75</v>
      </c>
      <c r="I74" s="3">
        <f t="shared" si="7"/>
        <v>18.147499999999997</v>
      </c>
      <c r="J74" s="6">
        <f t="shared" si="8"/>
        <v>64.50139999999999</v>
      </c>
    </row>
    <row r="75" spans="1:10" ht="12.75">
      <c r="A75" s="2" t="s">
        <v>357</v>
      </c>
      <c r="B75" s="2" t="s">
        <v>88</v>
      </c>
      <c r="C75" s="2" t="s">
        <v>23</v>
      </c>
      <c r="D75" s="2" t="s">
        <v>17</v>
      </c>
      <c r="E75" s="2">
        <v>5</v>
      </c>
      <c r="F75" s="2">
        <v>0.95</v>
      </c>
      <c r="G75" s="3">
        <f t="shared" si="6"/>
        <v>4.75</v>
      </c>
      <c r="H75" s="2">
        <v>1.21</v>
      </c>
      <c r="I75" s="3">
        <f t="shared" si="7"/>
        <v>6.05</v>
      </c>
      <c r="J75" s="6">
        <f t="shared" si="8"/>
        <v>10.8</v>
      </c>
    </row>
    <row r="76" spans="1:10" ht="12.75">
      <c r="A76" s="2" t="s">
        <v>358</v>
      </c>
      <c r="B76" s="2" t="s">
        <v>89</v>
      </c>
      <c r="C76" s="2" t="s">
        <v>23</v>
      </c>
      <c r="D76" s="2" t="s">
        <v>17</v>
      </c>
      <c r="E76" s="2">
        <v>10</v>
      </c>
      <c r="F76" s="2">
        <v>1.69</v>
      </c>
      <c r="G76" s="3">
        <f t="shared" si="6"/>
        <v>16.9</v>
      </c>
      <c r="H76" s="2">
        <v>1.21</v>
      </c>
      <c r="I76" s="3">
        <f t="shared" si="7"/>
        <v>12.1</v>
      </c>
      <c r="J76" s="6">
        <f t="shared" si="8"/>
        <v>29</v>
      </c>
    </row>
    <row r="77" spans="1:10" ht="12.75">
      <c r="A77" s="2" t="s">
        <v>359</v>
      </c>
      <c r="B77" s="2" t="s">
        <v>90</v>
      </c>
      <c r="C77" s="2" t="s">
        <v>23</v>
      </c>
      <c r="D77" s="2" t="s">
        <v>17</v>
      </c>
      <c r="E77" s="2">
        <v>8</v>
      </c>
      <c r="F77" s="2">
        <v>1.21</v>
      </c>
      <c r="G77" s="3">
        <f t="shared" si="6"/>
        <v>9.68</v>
      </c>
      <c r="H77" s="2">
        <v>2.42</v>
      </c>
      <c r="I77" s="3">
        <f t="shared" si="7"/>
        <v>19.36</v>
      </c>
      <c r="J77" s="6">
        <f t="shared" si="8"/>
        <v>29.04</v>
      </c>
    </row>
    <row r="78" spans="1:10" ht="12.75">
      <c r="A78" s="2" t="s">
        <v>360</v>
      </c>
      <c r="B78" s="2" t="s">
        <v>91</v>
      </c>
      <c r="C78" s="2" t="s">
        <v>23</v>
      </c>
      <c r="D78" s="2" t="s">
        <v>17</v>
      </c>
      <c r="E78" s="2">
        <v>19</v>
      </c>
      <c r="F78" s="2">
        <v>1.62</v>
      </c>
      <c r="G78" s="3">
        <f t="shared" si="6"/>
        <v>30.78</v>
      </c>
      <c r="H78" s="2">
        <v>2.42</v>
      </c>
      <c r="I78" s="3">
        <f t="shared" si="7"/>
        <v>45.98</v>
      </c>
      <c r="J78" s="6">
        <f t="shared" si="8"/>
        <v>76.75999999999999</v>
      </c>
    </row>
    <row r="79" spans="1:10" ht="12.75">
      <c r="A79" s="2" t="s">
        <v>361</v>
      </c>
      <c r="B79" s="2" t="s">
        <v>92</v>
      </c>
      <c r="C79" s="2" t="s">
        <v>23</v>
      </c>
      <c r="D79" s="2" t="s">
        <v>17</v>
      </c>
      <c r="E79" s="2">
        <v>3</v>
      </c>
      <c r="F79" s="2">
        <v>3.6</v>
      </c>
      <c r="G79" s="3">
        <f t="shared" si="6"/>
        <v>10.8</v>
      </c>
      <c r="H79" s="2">
        <v>2.42</v>
      </c>
      <c r="I79" s="3">
        <f t="shared" si="7"/>
        <v>7.26</v>
      </c>
      <c r="J79" s="6">
        <f t="shared" si="8"/>
        <v>18.060000000000002</v>
      </c>
    </row>
    <row r="80" spans="1:10" ht="12.75">
      <c r="A80" s="2" t="s">
        <v>362</v>
      </c>
      <c r="B80" s="2" t="s">
        <v>93</v>
      </c>
      <c r="C80" s="2" t="s">
        <v>23</v>
      </c>
      <c r="D80" s="2" t="s">
        <v>17</v>
      </c>
      <c r="E80" s="2">
        <v>8</v>
      </c>
      <c r="F80" s="2">
        <v>38.37</v>
      </c>
      <c r="G80" s="3">
        <f t="shared" si="6"/>
        <v>306.96</v>
      </c>
      <c r="H80" s="2">
        <v>8.2</v>
      </c>
      <c r="I80" s="3">
        <f t="shared" si="7"/>
        <v>65.6</v>
      </c>
      <c r="J80" s="6">
        <f t="shared" si="8"/>
        <v>372.55999999999995</v>
      </c>
    </row>
    <row r="81" spans="1:10" ht="12.75">
      <c r="A81" s="2" t="s">
        <v>363</v>
      </c>
      <c r="B81" s="2" t="s">
        <v>94</v>
      </c>
      <c r="C81" s="2" t="s">
        <v>23</v>
      </c>
      <c r="D81" s="2" t="s">
        <v>17</v>
      </c>
      <c r="E81" s="2">
        <v>2</v>
      </c>
      <c r="F81" s="2">
        <v>50.36</v>
      </c>
      <c r="G81" s="3">
        <f t="shared" si="6"/>
        <v>100.72</v>
      </c>
      <c r="H81" s="2">
        <v>8.87</v>
      </c>
      <c r="I81" s="3">
        <f t="shared" si="7"/>
        <v>17.74</v>
      </c>
      <c r="J81" s="6">
        <f t="shared" si="8"/>
        <v>118.46</v>
      </c>
    </row>
    <row r="82" spans="1:10" s="8" customFormat="1" ht="12.75">
      <c r="A82" s="13" t="s">
        <v>95</v>
      </c>
      <c r="B82" s="13" t="s">
        <v>96</v>
      </c>
      <c r="C82" s="24"/>
      <c r="D82" s="24"/>
      <c r="E82" s="24"/>
      <c r="F82" s="24"/>
      <c r="G82" s="25"/>
      <c r="H82" s="24"/>
      <c r="I82" s="25"/>
      <c r="J82" s="12"/>
    </row>
    <row r="83" spans="1:10" ht="12.75">
      <c r="A83" s="2" t="s">
        <v>364</v>
      </c>
      <c r="B83" s="2" t="s">
        <v>97</v>
      </c>
      <c r="C83" s="2" t="s">
        <v>23</v>
      </c>
      <c r="D83" s="2" t="s">
        <v>17</v>
      </c>
      <c r="E83" s="2">
        <v>1</v>
      </c>
      <c r="F83" s="2">
        <v>14.52</v>
      </c>
      <c r="G83" s="3">
        <f aca="true" t="shared" si="9" ref="G83:G102">F83*E83</f>
        <v>14.52</v>
      </c>
      <c r="H83" s="2">
        <v>6.18</v>
      </c>
      <c r="I83" s="3">
        <f aca="true" t="shared" si="10" ref="I83:I102">H83*E83</f>
        <v>6.18</v>
      </c>
      <c r="J83" s="6">
        <f aca="true" t="shared" si="11" ref="J83:J102">G83+I83</f>
        <v>20.7</v>
      </c>
    </row>
    <row r="84" spans="1:10" ht="12.75">
      <c r="A84" s="2" t="s">
        <v>365</v>
      </c>
      <c r="B84" s="2" t="s">
        <v>98</v>
      </c>
      <c r="C84" s="2" t="s">
        <v>23</v>
      </c>
      <c r="D84" s="2" t="s">
        <v>17</v>
      </c>
      <c r="E84" s="2">
        <v>7</v>
      </c>
      <c r="F84" s="2">
        <v>10.94</v>
      </c>
      <c r="G84" s="3">
        <f t="shared" si="9"/>
        <v>76.58</v>
      </c>
      <c r="H84" s="2">
        <v>6.18</v>
      </c>
      <c r="I84" s="3">
        <f t="shared" si="10"/>
        <v>43.26</v>
      </c>
      <c r="J84" s="6">
        <f t="shared" si="11"/>
        <v>119.84</v>
      </c>
    </row>
    <row r="85" spans="1:10" ht="12.75">
      <c r="A85" s="2" t="s">
        <v>366</v>
      </c>
      <c r="B85" s="2" t="s">
        <v>99</v>
      </c>
      <c r="C85" s="2" t="s">
        <v>23</v>
      </c>
      <c r="D85" s="2" t="s">
        <v>17</v>
      </c>
      <c r="E85" s="2">
        <v>10</v>
      </c>
      <c r="F85" s="2">
        <v>5.59</v>
      </c>
      <c r="G85" s="3">
        <f t="shared" si="9"/>
        <v>55.9</v>
      </c>
      <c r="H85" s="2">
        <v>3.9</v>
      </c>
      <c r="I85" s="3">
        <f t="shared" si="10"/>
        <v>39</v>
      </c>
      <c r="J85" s="6">
        <f t="shared" si="11"/>
        <v>94.9</v>
      </c>
    </row>
    <row r="86" spans="1:10" ht="12.75">
      <c r="A86" s="2" t="s">
        <v>367</v>
      </c>
      <c r="B86" s="2" t="s">
        <v>100</v>
      </c>
      <c r="C86" s="2" t="s">
        <v>23</v>
      </c>
      <c r="D86" s="2" t="s">
        <v>37</v>
      </c>
      <c r="E86" s="2">
        <v>15.36</v>
      </c>
      <c r="F86" s="2">
        <v>3.02</v>
      </c>
      <c r="G86" s="3">
        <f t="shared" si="9"/>
        <v>46.3872</v>
      </c>
      <c r="H86" s="2">
        <v>3.23</v>
      </c>
      <c r="I86" s="3">
        <f t="shared" si="10"/>
        <v>49.6128</v>
      </c>
      <c r="J86" s="6">
        <f t="shared" si="11"/>
        <v>96</v>
      </c>
    </row>
    <row r="87" spans="1:10" ht="12.75">
      <c r="A87" s="2" t="s">
        <v>368</v>
      </c>
      <c r="B87" s="2" t="s">
        <v>101</v>
      </c>
      <c r="C87" s="2" t="s">
        <v>23</v>
      </c>
      <c r="D87" s="2" t="s">
        <v>37</v>
      </c>
      <c r="E87" s="2">
        <v>18.01</v>
      </c>
      <c r="F87" s="2">
        <v>4.63</v>
      </c>
      <c r="G87" s="3">
        <f t="shared" si="9"/>
        <v>83.3863</v>
      </c>
      <c r="H87" s="2">
        <v>4.03</v>
      </c>
      <c r="I87" s="3">
        <f t="shared" si="10"/>
        <v>72.58030000000001</v>
      </c>
      <c r="J87" s="6">
        <f t="shared" si="11"/>
        <v>155.96660000000003</v>
      </c>
    </row>
    <row r="88" spans="1:10" ht="12.75">
      <c r="A88" s="2" t="s">
        <v>369</v>
      </c>
      <c r="B88" s="2" t="s">
        <v>102</v>
      </c>
      <c r="C88" s="2" t="s">
        <v>23</v>
      </c>
      <c r="D88" s="2" t="s">
        <v>37</v>
      </c>
      <c r="E88" s="2">
        <v>2.8</v>
      </c>
      <c r="F88" s="2">
        <v>6.01</v>
      </c>
      <c r="G88" s="3">
        <f t="shared" si="9"/>
        <v>16.828</v>
      </c>
      <c r="H88" s="2">
        <v>6.45</v>
      </c>
      <c r="I88" s="3">
        <f t="shared" si="10"/>
        <v>18.06</v>
      </c>
      <c r="J88" s="6">
        <f t="shared" si="11"/>
        <v>34.888</v>
      </c>
    </row>
    <row r="89" spans="1:10" ht="12.75">
      <c r="A89" s="2" t="s">
        <v>370</v>
      </c>
      <c r="B89" s="2" t="s">
        <v>103</v>
      </c>
      <c r="C89" s="2" t="s">
        <v>23</v>
      </c>
      <c r="D89" s="2" t="s">
        <v>37</v>
      </c>
      <c r="E89" s="2">
        <v>34.9</v>
      </c>
      <c r="F89" s="2">
        <v>7.25</v>
      </c>
      <c r="G89" s="3">
        <f t="shared" si="9"/>
        <v>253.02499999999998</v>
      </c>
      <c r="H89" s="2">
        <v>6.99</v>
      </c>
      <c r="I89" s="3">
        <f t="shared" si="10"/>
        <v>243.951</v>
      </c>
      <c r="J89" s="6">
        <f t="shared" si="11"/>
        <v>496.976</v>
      </c>
    </row>
    <row r="90" spans="1:10" ht="12.75">
      <c r="A90" s="2" t="s">
        <v>371</v>
      </c>
      <c r="B90" s="2" t="s">
        <v>104</v>
      </c>
      <c r="C90" s="2" t="s">
        <v>23</v>
      </c>
      <c r="D90" s="2" t="s">
        <v>17</v>
      </c>
      <c r="E90" s="2">
        <v>3</v>
      </c>
      <c r="F90" s="2">
        <v>6.05</v>
      </c>
      <c r="G90" s="3">
        <f t="shared" si="9"/>
        <v>18.15</v>
      </c>
      <c r="H90" s="2">
        <v>3.76</v>
      </c>
      <c r="I90" s="3">
        <f t="shared" si="10"/>
        <v>11.28</v>
      </c>
      <c r="J90" s="6">
        <f t="shared" si="11"/>
        <v>29.43</v>
      </c>
    </row>
    <row r="91" spans="1:10" ht="12.75">
      <c r="A91" s="2" t="s">
        <v>372</v>
      </c>
      <c r="B91" s="2" t="s">
        <v>105</v>
      </c>
      <c r="C91" s="2" t="s">
        <v>23</v>
      </c>
      <c r="D91" s="2" t="s">
        <v>17</v>
      </c>
      <c r="E91" s="2">
        <v>9</v>
      </c>
      <c r="F91" s="2">
        <v>22.64</v>
      </c>
      <c r="G91" s="3">
        <f t="shared" si="9"/>
        <v>203.76</v>
      </c>
      <c r="H91" s="2">
        <v>6.05</v>
      </c>
      <c r="I91" s="3">
        <f t="shared" si="10"/>
        <v>54.449999999999996</v>
      </c>
      <c r="J91" s="6">
        <f t="shared" si="11"/>
        <v>258.21</v>
      </c>
    </row>
    <row r="92" spans="1:10" ht="12.75">
      <c r="A92" s="2" t="s">
        <v>373</v>
      </c>
      <c r="B92" s="2" t="s">
        <v>106</v>
      </c>
      <c r="C92" s="2" t="s">
        <v>23</v>
      </c>
      <c r="D92" s="2" t="s">
        <v>17</v>
      </c>
      <c r="E92" s="2">
        <v>2</v>
      </c>
      <c r="F92" s="2">
        <v>5.96</v>
      </c>
      <c r="G92" s="3">
        <f t="shared" si="9"/>
        <v>11.92</v>
      </c>
      <c r="H92" s="2">
        <v>3.76</v>
      </c>
      <c r="I92" s="3">
        <f t="shared" si="10"/>
        <v>7.52</v>
      </c>
      <c r="J92" s="6">
        <f t="shared" si="11"/>
        <v>19.439999999999998</v>
      </c>
    </row>
    <row r="93" spans="1:10" ht="12.75">
      <c r="A93" s="2" t="s">
        <v>374</v>
      </c>
      <c r="B93" s="2" t="s">
        <v>107</v>
      </c>
      <c r="C93" s="2" t="s">
        <v>23</v>
      </c>
      <c r="D93" s="2" t="s">
        <v>17</v>
      </c>
      <c r="E93" s="2">
        <v>6</v>
      </c>
      <c r="F93" s="2">
        <v>12.83</v>
      </c>
      <c r="G93" s="3">
        <f t="shared" si="9"/>
        <v>76.98</v>
      </c>
      <c r="H93" s="2">
        <v>6.05</v>
      </c>
      <c r="I93" s="3">
        <f t="shared" si="10"/>
        <v>36.3</v>
      </c>
      <c r="J93" s="6">
        <f t="shared" si="11"/>
        <v>113.28</v>
      </c>
    </row>
    <row r="94" spans="1:10" ht="12.75">
      <c r="A94" s="2" t="s">
        <v>375</v>
      </c>
      <c r="B94" s="2" t="s">
        <v>108</v>
      </c>
      <c r="C94" s="2" t="s">
        <v>23</v>
      </c>
      <c r="D94" s="2" t="s">
        <v>17</v>
      </c>
      <c r="E94" s="2">
        <v>7</v>
      </c>
      <c r="F94" s="2">
        <v>2.6</v>
      </c>
      <c r="G94" s="3">
        <f t="shared" si="9"/>
        <v>18.2</v>
      </c>
      <c r="H94" s="2">
        <v>3.76</v>
      </c>
      <c r="I94" s="3">
        <f t="shared" si="10"/>
        <v>26.32</v>
      </c>
      <c r="J94" s="6">
        <f t="shared" si="11"/>
        <v>44.519999999999996</v>
      </c>
    </row>
    <row r="95" spans="1:10" ht="12.75">
      <c r="A95" s="2" t="s">
        <v>376</v>
      </c>
      <c r="B95" s="2" t="s">
        <v>109</v>
      </c>
      <c r="C95" s="2" t="s">
        <v>23</v>
      </c>
      <c r="D95" s="2" t="s">
        <v>17</v>
      </c>
      <c r="E95" s="2">
        <v>6</v>
      </c>
      <c r="F95" s="2">
        <v>1.79</v>
      </c>
      <c r="G95" s="3">
        <f t="shared" si="9"/>
        <v>10.74</v>
      </c>
      <c r="H95" s="2">
        <v>3.76</v>
      </c>
      <c r="I95" s="3">
        <f t="shared" si="10"/>
        <v>22.56</v>
      </c>
      <c r="J95" s="6">
        <f t="shared" si="11"/>
        <v>33.3</v>
      </c>
    </row>
    <row r="96" spans="1:10" ht="12.75">
      <c r="A96" s="2" t="s">
        <v>377</v>
      </c>
      <c r="B96" s="2" t="s">
        <v>110</v>
      </c>
      <c r="C96" s="2" t="s">
        <v>23</v>
      </c>
      <c r="D96" s="2" t="s">
        <v>17</v>
      </c>
      <c r="E96" s="2">
        <v>7</v>
      </c>
      <c r="F96" s="2">
        <v>2.64</v>
      </c>
      <c r="G96" s="3">
        <f t="shared" si="9"/>
        <v>18.48</v>
      </c>
      <c r="H96" s="2">
        <v>3.76</v>
      </c>
      <c r="I96" s="3">
        <f t="shared" si="10"/>
        <v>26.32</v>
      </c>
      <c r="J96" s="6">
        <f t="shared" si="11"/>
        <v>44.8</v>
      </c>
    </row>
    <row r="97" spans="1:10" ht="12.75">
      <c r="A97" s="2" t="s">
        <v>378</v>
      </c>
      <c r="B97" s="2" t="s">
        <v>111</v>
      </c>
      <c r="C97" s="2" t="s">
        <v>23</v>
      </c>
      <c r="D97" s="2" t="s">
        <v>17</v>
      </c>
      <c r="E97" s="2">
        <v>7</v>
      </c>
      <c r="F97" s="2">
        <v>1.72</v>
      </c>
      <c r="G97" s="3">
        <f t="shared" si="9"/>
        <v>12.04</v>
      </c>
      <c r="H97" s="2">
        <v>3.76</v>
      </c>
      <c r="I97" s="3">
        <f t="shared" si="10"/>
        <v>26.32</v>
      </c>
      <c r="J97" s="6">
        <f t="shared" si="11"/>
        <v>38.36</v>
      </c>
    </row>
    <row r="98" spans="1:10" ht="12.75">
      <c r="A98" s="2" t="s">
        <v>379</v>
      </c>
      <c r="B98" s="2" t="s">
        <v>112</v>
      </c>
      <c r="C98" s="2" t="s">
        <v>23</v>
      </c>
      <c r="D98" s="2" t="s">
        <v>17</v>
      </c>
      <c r="E98" s="2">
        <v>16</v>
      </c>
      <c r="F98" s="2">
        <v>2.31</v>
      </c>
      <c r="G98" s="3">
        <f t="shared" si="9"/>
        <v>36.96</v>
      </c>
      <c r="H98" s="2">
        <v>3.76</v>
      </c>
      <c r="I98" s="3">
        <f t="shared" si="10"/>
        <v>60.16</v>
      </c>
      <c r="J98" s="6">
        <f t="shared" si="11"/>
        <v>97.12</v>
      </c>
    </row>
    <row r="99" spans="1:10" ht="12.75">
      <c r="A99" s="2" t="s">
        <v>380</v>
      </c>
      <c r="B99" s="2" t="s">
        <v>113</v>
      </c>
      <c r="C99" s="2" t="s">
        <v>23</v>
      </c>
      <c r="D99" s="2" t="s">
        <v>17</v>
      </c>
      <c r="E99" s="2">
        <v>1</v>
      </c>
      <c r="F99" s="2">
        <v>4.49</v>
      </c>
      <c r="G99" s="3">
        <f t="shared" si="9"/>
        <v>4.49</v>
      </c>
      <c r="H99" s="2">
        <v>4.84</v>
      </c>
      <c r="I99" s="3">
        <f t="shared" si="10"/>
        <v>4.84</v>
      </c>
      <c r="J99" s="6">
        <f t="shared" si="11"/>
        <v>9.33</v>
      </c>
    </row>
    <row r="100" spans="1:10" ht="12.75">
      <c r="A100" s="2" t="s">
        <v>381</v>
      </c>
      <c r="B100" s="2" t="s">
        <v>114</v>
      </c>
      <c r="C100" s="2" t="s">
        <v>23</v>
      </c>
      <c r="D100" s="2" t="s">
        <v>17</v>
      </c>
      <c r="E100" s="2">
        <v>6</v>
      </c>
      <c r="F100" s="2">
        <v>11.42</v>
      </c>
      <c r="G100" s="3">
        <f t="shared" si="9"/>
        <v>68.52</v>
      </c>
      <c r="H100" s="2">
        <v>5.38</v>
      </c>
      <c r="I100" s="3">
        <f t="shared" si="10"/>
        <v>32.28</v>
      </c>
      <c r="J100" s="6">
        <f t="shared" si="11"/>
        <v>100.8</v>
      </c>
    </row>
    <row r="101" spans="1:10" ht="12.75">
      <c r="A101" s="2" t="s">
        <v>382</v>
      </c>
      <c r="B101" s="2" t="s">
        <v>115</v>
      </c>
      <c r="C101" s="2" t="s">
        <v>23</v>
      </c>
      <c r="D101" s="2" t="s">
        <v>17</v>
      </c>
      <c r="E101" s="2">
        <v>1</v>
      </c>
      <c r="F101" s="2">
        <v>27.43</v>
      </c>
      <c r="G101" s="3">
        <f t="shared" si="9"/>
        <v>27.43</v>
      </c>
      <c r="H101" s="2">
        <v>5.38</v>
      </c>
      <c r="I101" s="3">
        <f t="shared" si="10"/>
        <v>5.38</v>
      </c>
      <c r="J101" s="6">
        <f t="shared" si="11"/>
        <v>32.81</v>
      </c>
    </row>
    <row r="102" spans="1:10" ht="12.75">
      <c r="A102" s="2" t="s">
        <v>383</v>
      </c>
      <c r="B102" s="2" t="s">
        <v>116</v>
      </c>
      <c r="C102" s="2" t="s">
        <v>52</v>
      </c>
      <c r="D102" s="2" t="s">
        <v>17</v>
      </c>
      <c r="E102" s="2">
        <v>6</v>
      </c>
      <c r="F102" s="2">
        <v>2.11</v>
      </c>
      <c r="G102" s="3">
        <f t="shared" si="9"/>
        <v>12.66</v>
      </c>
      <c r="H102" s="2">
        <v>0</v>
      </c>
      <c r="I102" s="3">
        <f t="shared" si="10"/>
        <v>0</v>
      </c>
      <c r="J102" s="6">
        <f t="shared" si="11"/>
        <v>12.66</v>
      </c>
    </row>
    <row r="103" spans="1:10" s="8" customFormat="1" ht="12.75">
      <c r="A103" s="13" t="s">
        <v>117</v>
      </c>
      <c r="B103" s="13" t="s">
        <v>118</v>
      </c>
      <c r="C103" s="24"/>
      <c r="D103" s="24"/>
      <c r="E103" s="24"/>
      <c r="F103" s="24"/>
      <c r="G103" s="25"/>
      <c r="H103" s="24"/>
      <c r="I103" s="25"/>
      <c r="J103" s="12"/>
    </row>
    <row r="104" spans="1:10" ht="12.75">
      <c r="A104" s="2" t="s">
        <v>384</v>
      </c>
      <c r="B104" s="2" t="s">
        <v>119</v>
      </c>
      <c r="C104" s="2" t="s">
        <v>23</v>
      </c>
      <c r="D104" s="2" t="s">
        <v>17</v>
      </c>
      <c r="E104" s="2">
        <v>13</v>
      </c>
      <c r="F104" s="2">
        <v>0.72</v>
      </c>
      <c r="G104" s="3">
        <f>F104*E104</f>
        <v>9.36</v>
      </c>
      <c r="H104" s="2">
        <v>2.42</v>
      </c>
      <c r="I104" s="3">
        <f>H104*E104</f>
        <v>31.46</v>
      </c>
      <c r="J104" s="6">
        <f>G104+I104</f>
        <v>40.82</v>
      </c>
    </row>
    <row r="105" spans="1:10" ht="12.75">
      <c r="A105" s="2" t="s">
        <v>385</v>
      </c>
      <c r="B105" s="2" t="s">
        <v>86</v>
      </c>
      <c r="C105" s="2" t="s">
        <v>23</v>
      </c>
      <c r="D105" s="2" t="s">
        <v>37</v>
      </c>
      <c r="E105" s="2">
        <v>38.46</v>
      </c>
      <c r="F105" s="2">
        <v>1.82</v>
      </c>
      <c r="G105" s="3">
        <f>F105*E105</f>
        <v>69.9972</v>
      </c>
      <c r="H105" s="2">
        <v>1.61</v>
      </c>
      <c r="I105" s="3">
        <f>H105*E105</f>
        <v>61.92060000000001</v>
      </c>
      <c r="J105" s="6">
        <f>G105+I105</f>
        <v>131.9178</v>
      </c>
    </row>
    <row r="106" spans="1:10" ht="12.75">
      <c r="A106" s="2" t="s">
        <v>386</v>
      </c>
      <c r="B106" s="2" t="s">
        <v>120</v>
      </c>
      <c r="C106" s="2" t="s">
        <v>23</v>
      </c>
      <c r="D106" s="2" t="s">
        <v>17</v>
      </c>
      <c r="E106" s="2">
        <v>4</v>
      </c>
      <c r="F106" s="2">
        <v>1.16</v>
      </c>
      <c r="G106" s="3">
        <f>F106*E106</f>
        <v>4.64</v>
      </c>
      <c r="H106" s="2">
        <v>2.42</v>
      </c>
      <c r="I106" s="3">
        <f>H106*E106</f>
        <v>9.68</v>
      </c>
      <c r="J106" s="6">
        <f>G106+I106</f>
        <v>14.32</v>
      </c>
    </row>
    <row r="107" spans="1:10" s="8" customFormat="1" ht="12.75">
      <c r="A107" s="13" t="s">
        <v>121</v>
      </c>
      <c r="B107" s="13" t="s">
        <v>122</v>
      </c>
      <c r="C107" s="24"/>
      <c r="D107" s="24"/>
      <c r="E107" s="24"/>
      <c r="F107" s="24"/>
      <c r="G107" s="25"/>
      <c r="H107" s="24"/>
      <c r="I107" s="25"/>
      <c r="J107" s="12"/>
    </row>
    <row r="108" spans="1:10" ht="25.5">
      <c r="A108" s="2" t="s">
        <v>387</v>
      </c>
      <c r="B108" s="2" t="s">
        <v>123</v>
      </c>
      <c r="C108" s="2" t="s">
        <v>23</v>
      </c>
      <c r="D108" s="2" t="s">
        <v>17</v>
      </c>
      <c r="E108" s="2">
        <v>1</v>
      </c>
      <c r="F108" s="2">
        <v>97.3</v>
      </c>
      <c r="G108" s="3">
        <f>F108*E108</f>
        <v>97.3</v>
      </c>
      <c r="H108" s="2">
        <v>133.44</v>
      </c>
      <c r="I108" s="3">
        <f>H108*E108</f>
        <v>133.44</v>
      </c>
      <c r="J108" s="6">
        <f>G108+I108</f>
        <v>230.74</v>
      </c>
    </row>
    <row r="109" spans="1:10" ht="25.5">
      <c r="A109" s="2" t="s">
        <v>388</v>
      </c>
      <c r="B109" s="2" t="s">
        <v>124</v>
      </c>
      <c r="C109" s="2" t="s">
        <v>23</v>
      </c>
      <c r="D109" s="2" t="s">
        <v>17</v>
      </c>
      <c r="E109" s="2">
        <v>5</v>
      </c>
      <c r="F109" s="2">
        <v>56.89</v>
      </c>
      <c r="G109" s="3">
        <f>F109*E109</f>
        <v>284.45</v>
      </c>
      <c r="H109" s="2">
        <v>60.46</v>
      </c>
      <c r="I109" s="3">
        <f>H109*E109</f>
        <v>302.3</v>
      </c>
      <c r="J109" s="6">
        <f>G109+I109</f>
        <v>586.75</v>
      </c>
    </row>
    <row r="110" spans="1:10" ht="25.5">
      <c r="A110" s="2" t="s">
        <v>389</v>
      </c>
      <c r="B110" s="2" t="s">
        <v>125</v>
      </c>
      <c r="C110" s="2" t="s">
        <v>23</v>
      </c>
      <c r="D110" s="2" t="s">
        <v>17</v>
      </c>
      <c r="E110" s="2">
        <v>2</v>
      </c>
      <c r="F110" s="2">
        <v>150.25</v>
      </c>
      <c r="G110" s="3">
        <f>F110*E110</f>
        <v>300.5</v>
      </c>
      <c r="H110" s="2">
        <v>189.05</v>
      </c>
      <c r="I110" s="3">
        <f>H110*E110</f>
        <v>378.1</v>
      </c>
      <c r="J110" s="6">
        <f>G110+I110</f>
        <v>678.6</v>
      </c>
    </row>
    <row r="111" spans="1:10" ht="12.75">
      <c r="A111" s="2"/>
      <c r="B111" s="11" t="s">
        <v>466</v>
      </c>
      <c r="C111" s="2"/>
      <c r="D111" s="2"/>
      <c r="E111" s="2"/>
      <c r="F111" s="2"/>
      <c r="G111" s="3"/>
      <c r="H111" s="2"/>
      <c r="I111" s="3"/>
      <c r="J111" s="22">
        <f>SUM(J67:J110)</f>
        <v>4656.785200000001</v>
      </c>
    </row>
    <row r="112" spans="1:10" s="8" customFormat="1" ht="12.75">
      <c r="A112" s="14" t="s">
        <v>126</v>
      </c>
      <c r="B112" s="14" t="s">
        <v>127</v>
      </c>
      <c r="C112" s="30"/>
      <c r="D112" s="30"/>
      <c r="E112" s="30"/>
      <c r="F112" s="30"/>
      <c r="G112" s="31"/>
      <c r="H112" s="30"/>
      <c r="I112" s="31"/>
      <c r="J112" s="32"/>
    </row>
    <row r="113" spans="1:10" s="8" customFormat="1" ht="12.75">
      <c r="A113" s="13" t="s">
        <v>128</v>
      </c>
      <c r="B113" s="13" t="s">
        <v>129</v>
      </c>
      <c r="C113" s="24"/>
      <c r="D113" s="24"/>
      <c r="E113" s="24"/>
      <c r="F113" s="24"/>
      <c r="G113" s="25"/>
      <c r="H113" s="24"/>
      <c r="I113" s="25"/>
      <c r="J113" s="12"/>
    </row>
    <row r="114" spans="1:10" ht="12.75">
      <c r="A114" s="2" t="s">
        <v>390</v>
      </c>
      <c r="B114" s="2" t="s">
        <v>130</v>
      </c>
      <c r="C114" s="2" t="s">
        <v>52</v>
      </c>
      <c r="D114" s="2" t="s">
        <v>17</v>
      </c>
      <c r="E114" s="2">
        <v>1</v>
      </c>
      <c r="F114" s="2">
        <v>80000</v>
      </c>
      <c r="G114" s="3">
        <f>F114*E114</f>
        <v>80000</v>
      </c>
      <c r="H114" s="2">
        <v>0</v>
      </c>
      <c r="I114" s="3">
        <f>H114*E114</f>
        <v>0</v>
      </c>
      <c r="J114" s="6">
        <f>G114+I114</f>
        <v>80000</v>
      </c>
    </row>
    <row r="115" spans="1:10" ht="25.5">
      <c r="A115" s="2" t="s">
        <v>391</v>
      </c>
      <c r="B115" s="2" t="s">
        <v>131</v>
      </c>
      <c r="C115" s="2" t="s">
        <v>52</v>
      </c>
      <c r="D115" s="2" t="s">
        <v>13</v>
      </c>
      <c r="E115" s="2">
        <v>390.69</v>
      </c>
      <c r="F115" s="2">
        <v>58.95</v>
      </c>
      <c r="G115" s="3">
        <f>F115*E115</f>
        <v>23031.1755</v>
      </c>
      <c r="H115" s="2">
        <v>0</v>
      </c>
      <c r="I115" s="3">
        <f>H115*E115</f>
        <v>0</v>
      </c>
      <c r="J115" s="6">
        <f>G115+I115</f>
        <v>23031.1755</v>
      </c>
    </row>
    <row r="116" spans="1:10" ht="12.75">
      <c r="A116" s="2"/>
      <c r="B116" s="11" t="s">
        <v>466</v>
      </c>
      <c r="C116" s="2"/>
      <c r="D116" s="2"/>
      <c r="E116" s="2"/>
      <c r="F116" s="2"/>
      <c r="G116" s="3"/>
      <c r="H116" s="2"/>
      <c r="I116" s="3"/>
      <c r="J116" s="22">
        <f>SUM(J114:J115)</f>
        <v>103031.1755</v>
      </c>
    </row>
    <row r="117" spans="1:10" s="8" customFormat="1" ht="12.75">
      <c r="A117" s="14" t="s">
        <v>132</v>
      </c>
      <c r="B117" s="14" t="s">
        <v>133</v>
      </c>
      <c r="C117" s="30"/>
      <c r="D117" s="30"/>
      <c r="E117" s="30"/>
      <c r="F117" s="30"/>
      <c r="G117" s="31"/>
      <c r="H117" s="30"/>
      <c r="I117" s="31"/>
      <c r="J117" s="32"/>
    </row>
    <row r="118" spans="1:10" s="8" customFormat="1" ht="12.75">
      <c r="A118" s="13" t="s">
        <v>134</v>
      </c>
      <c r="B118" s="13" t="s">
        <v>135</v>
      </c>
      <c r="C118" s="24"/>
      <c r="D118" s="24"/>
      <c r="E118" s="24"/>
      <c r="F118" s="24"/>
      <c r="G118" s="25"/>
      <c r="H118" s="24"/>
      <c r="I118" s="25"/>
      <c r="J118" s="12"/>
    </row>
    <row r="119" spans="1:10" ht="25.5">
      <c r="A119" s="2" t="s">
        <v>392</v>
      </c>
      <c r="B119" s="2" t="s">
        <v>136</v>
      </c>
      <c r="C119" s="2" t="s">
        <v>52</v>
      </c>
      <c r="D119" s="2" t="s">
        <v>13</v>
      </c>
      <c r="E119" s="2">
        <v>390.69</v>
      </c>
      <c r="F119" s="2">
        <v>13.72</v>
      </c>
      <c r="G119" s="3">
        <f>F119*E119</f>
        <v>5360.2668</v>
      </c>
      <c r="H119" s="2">
        <v>0</v>
      </c>
      <c r="I119" s="3">
        <f>H119*E119</f>
        <v>0</v>
      </c>
      <c r="J119" s="6">
        <f>G119+I119</f>
        <v>5360.2668</v>
      </c>
    </row>
    <row r="120" spans="1:10" ht="12.75">
      <c r="A120" s="2"/>
      <c r="B120" s="11" t="s">
        <v>466</v>
      </c>
      <c r="C120" s="2"/>
      <c r="D120" s="2"/>
      <c r="E120" s="2"/>
      <c r="F120" s="2"/>
      <c r="G120" s="3"/>
      <c r="H120" s="2"/>
      <c r="I120" s="3"/>
      <c r="J120" s="22">
        <f>SUM(J119)</f>
        <v>5360.2668</v>
      </c>
    </row>
    <row r="121" spans="1:10" s="8" customFormat="1" ht="12.75">
      <c r="A121" s="14" t="s">
        <v>137</v>
      </c>
      <c r="B121" s="14" t="s">
        <v>138</v>
      </c>
      <c r="C121" s="30"/>
      <c r="D121" s="30"/>
      <c r="E121" s="30"/>
      <c r="F121" s="30"/>
      <c r="G121" s="31"/>
      <c r="H121" s="30"/>
      <c r="I121" s="31"/>
      <c r="J121" s="32"/>
    </row>
    <row r="122" spans="1:10" s="8" customFormat="1" ht="12.75">
      <c r="A122" s="13" t="s">
        <v>139</v>
      </c>
      <c r="B122" s="13" t="s">
        <v>140</v>
      </c>
      <c r="C122" s="24"/>
      <c r="D122" s="24"/>
      <c r="E122" s="24"/>
      <c r="F122" s="24"/>
      <c r="G122" s="25"/>
      <c r="H122" s="24"/>
      <c r="I122" s="25"/>
      <c r="J122" s="12"/>
    </row>
    <row r="123" spans="1:10" ht="12.75">
      <c r="A123" s="2" t="s">
        <v>393</v>
      </c>
      <c r="B123" s="2" t="s">
        <v>141</v>
      </c>
      <c r="C123" s="2" t="s">
        <v>23</v>
      </c>
      <c r="D123" s="2" t="s">
        <v>13</v>
      </c>
      <c r="E123" s="2">
        <v>432.85</v>
      </c>
      <c r="F123" s="2">
        <v>6.68</v>
      </c>
      <c r="G123" s="3">
        <f>F123*E123</f>
        <v>2891.438</v>
      </c>
      <c r="H123" s="2">
        <v>11.18</v>
      </c>
      <c r="I123" s="3">
        <f>H123*E123</f>
        <v>4839.263</v>
      </c>
      <c r="J123" s="6">
        <f>G123+I123</f>
        <v>7730.701</v>
      </c>
    </row>
    <row r="124" spans="1:10" ht="25.5">
      <c r="A124" s="2" t="s">
        <v>394</v>
      </c>
      <c r="B124" s="2" t="s">
        <v>142</v>
      </c>
      <c r="C124" s="2" t="s">
        <v>23</v>
      </c>
      <c r="D124" s="2" t="s">
        <v>13</v>
      </c>
      <c r="E124" s="2">
        <v>75.5</v>
      </c>
      <c r="F124" s="2">
        <v>3.13</v>
      </c>
      <c r="G124" s="3">
        <f>F124*E124</f>
        <v>236.315</v>
      </c>
      <c r="H124" s="2">
        <v>6.99</v>
      </c>
      <c r="I124" s="3">
        <f>H124*E124</f>
        <v>527.745</v>
      </c>
      <c r="J124" s="6">
        <f>G124+I124</f>
        <v>764.06</v>
      </c>
    </row>
    <row r="125" spans="1:10" ht="12.75">
      <c r="A125" s="2"/>
      <c r="B125" s="11" t="s">
        <v>466</v>
      </c>
      <c r="C125" s="2"/>
      <c r="D125" s="2"/>
      <c r="E125" s="2"/>
      <c r="F125" s="2"/>
      <c r="G125" s="3"/>
      <c r="H125" s="2"/>
      <c r="I125" s="3"/>
      <c r="J125" s="22">
        <f>SUM(J123:J124)</f>
        <v>8494.761</v>
      </c>
    </row>
    <row r="126" spans="1:10" s="8" customFormat="1" ht="12.75">
      <c r="A126" s="14" t="s">
        <v>143</v>
      </c>
      <c r="B126" s="14" t="s">
        <v>144</v>
      </c>
      <c r="C126" s="30"/>
      <c r="D126" s="30"/>
      <c r="E126" s="30"/>
      <c r="F126" s="30"/>
      <c r="G126" s="31"/>
      <c r="H126" s="30"/>
      <c r="I126" s="31"/>
      <c r="J126" s="32"/>
    </row>
    <row r="127" spans="1:10" s="8" customFormat="1" ht="12.75">
      <c r="A127" s="13" t="s">
        <v>145</v>
      </c>
      <c r="B127" s="13" t="s">
        <v>146</v>
      </c>
      <c r="C127" s="24"/>
      <c r="D127" s="24"/>
      <c r="E127" s="24"/>
      <c r="F127" s="24"/>
      <c r="G127" s="25"/>
      <c r="H127" s="24"/>
      <c r="I127" s="25"/>
      <c r="J127" s="12"/>
    </row>
    <row r="128" spans="1:10" ht="12.75">
      <c r="A128" s="2" t="s">
        <v>395</v>
      </c>
      <c r="B128" s="2" t="s">
        <v>147</v>
      </c>
      <c r="C128" s="2" t="s">
        <v>23</v>
      </c>
      <c r="D128" s="2" t="s">
        <v>13</v>
      </c>
      <c r="E128" s="2">
        <v>126.04</v>
      </c>
      <c r="F128" s="2">
        <v>3.43</v>
      </c>
      <c r="G128" s="3">
        <f>F128*E128</f>
        <v>432.3172</v>
      </c>
      <c r="H128" s="2">
        <v>7.47</v>
      </c>
      <c r="I128" s="3">
        <f>H128*E128</f>
        <v>941.5188</v>
      </c>
      <c r="J128" s="6">
        <f>G128+I128</f>
        <v>1373.836</v>
      </c>
    </row>
    <row r="129" spans="1:10" ht="12.75">
      <c r="A129" s="2" t="s">
        <v>396</v>
      </c>
      <c r="B129" s="2" t="s">
        <v>70</v>
      </c>
      <c r="C129" s="2" t="s">
        <v>23</v>
      </c>
      <c r="D129" s="2" t="s">
        <v>13</v>
      </c>
      <c r="E129" s="2">
        <v>503.96</v>
      </c>
      <c r="F129" s="2">
        <v>1.31</v>
      </c>
      <c r="G129" s="3">
        <f>F129*E129</f>
        <v>660.1876</v>
      </c>
      <c r="H129" s="2">
        <v>1.56</v>
      </c>
      <c r="I129" s="3">
        <f>H129*E129</f>
        <v>786.1776</v>
      </c>
      <c r="J129" s="6">
        <f>G129+I129</f>
        <v>1446.3652</v>
      </c>
    </row>
    <row r="130" spans="1:10" ht="12.75">
      <c r="A130" s="2" t="s">
        <v>397</v>
      </c>
      <c r="B130" s="2" t="s">
        <v>148</v>
      </c>
      <c r="C130" s="2" t="s">
        <v>23</v>
      </c>
      <c r="D130" s="2" t="s">
        <v>13</v>
      </c>
      <c r="E130" s="2">
        <v>372.88</v>
      </c>
      <c r="F130" s="2">
        <v>6.81</v>
      </c>
      <c r="G130" s="3">
        <f>F130*E130</f>
        <v>2539.3127999999997</v>
      </c>
      <c r="H130" s="2">
        <v>10.76</v>
      </c>
      <c r="I130" s="3">
        <f>H130*E130</f>
        <v>4012.1888</v>
      </c>
      <c r="J130" s="6">
        <f>G130+I130</f>
        <v>6551.5016</v>
      </c>
    </row>
    <row r="131" spans="1:10" s="8" customFormat="1" ht="12.75">
      <c r="A131" s="13" t="s">
        <v>149</v>
      </c>
      <c r="B131" s="13" t="s">
        <v>150</v>
      </c>
      <c r="C131" s="24"/>
      <c r="D131" s="24"/>
      <c r="E131" s="24"/>
      <c r="F131" s="24"/>
      <c r="G131" s="25"/>
      <c r="H131" s="24"/>
      <c r="I131" s="25"/>
      <c r="J131" s="12"/>
    </row>
    <row r="132" spans="1:10" ht="25.5">
      <c r="A132" s="2" t="s">
        <v>398</v>
      </c>
      <c r="B132" s="2" t="s">
        <v>151</v>
      </c>
      <c r="C132" s="2" t="s">
        <v>23</v>
      </c>
      <c r="D132" s="2" t="s">
        <v>13</v>
      </c>
      <c r="E132" s="2">
        <v>160.6</v>
      </c>
      <c r="F132" s="2">
        <v>17.77</v>
      </c>
      <c r="G132" s="3">
        <f>F132*E132</f>
        <v>2853.8619999999996</v>
      </c>
      <c r="H132" s="2">
        <v>4.4</v>
      </c>
      <c r="I132" s="3">
        <f>H132*E132</f>
        <v>706.64</v>
      </c>
      <c r="J132" s="6">
        <f>G132+I132</f>
        <v>3560.5019999999995</v>
      </c>
    </row>
    <row r="133" spans="1:10" s="8" customFormat="1" ht="12.75">
      <c r="A133" s="13" t="s">
        <v>152</v>
      </c>
      <c r="B133" s="13" t="s">
        <v>153</v>
      </c>
      <c r="C133" s="24"/>
      <c r="D133" s="24"/>
      <c r="E133" s="24"/>
      <c r="F133" s="24"/>
      <c r="G133" s="25"/>
      <c r="H133" s="24"/>
      <c r="I133" s="25"/>
      <c r="J133" s="12"/>
    </row>
    <row r="134" spans="1:10" ht="25.5">
      <c r="A134" s="2" t="s">
        <v>399</v>
      </c>
      <c r="B134" s="2" t="s">
        <v>154</v>
      </c>
      <c r="C134" s="2" t="s">
        <v>52</v>
      </c>
      <c r="D134" s="2" t="s">
        <v>13</v>
      </c>
      <c r="E134" s="2">
        <v>57.8</v>
      </c>
      <c r="F134" s="2">
        <v>79.9</v>
      </c>
      <c r="G134" s="3">
        <f>F134*E134</f>
        <v>4618.22</v>
      </c>
      <c r="H134" s="2">
        <v>0</v>
      </c>
      <c r="I134" s="3">
        <f>H134*E134</f>
        <v>0</v>
      </c>
      <c r="J134" s="6">
        <f>G134+I134</f>
        <v>4618.22</v>
      </c>
    </row>
    <row r="135" spans="1:10" ht="12.75">
      <c r="A135" s="2" t="s">
        <v>400</v>
      </c>
      <c r="B135" s="2" t="s">
        <v>155</v>
      </c>
      <c r="C135" s="2" t="s">
        <v>23</v>
      </c>
      <c r="D135" s="2" t="s">
        <v>156</v>
      </c>
      <c r="E135" s="2">
        <v>79.7</v>
      </c>
      <c r="F135" s="2">
        <v>5.9</v>
      </c>
      <c r="G135" s="3">
        <f>F135*E135</f>
        <v>470.23</v>
      </c>
      <c r="H135" s="2">
        <v>6.18</v>
      </c>
      <c r="I135" s="3">
        <f>H135*E135</f>
        <v>492.546</v>
      </c>
      <c r="J135" s="6">
        <f>G135+I135</f>
        <v>962.7760000000001</v>
      </c>
    </row>
    <row r="136" spans="1:10" ht="12.75">
      <c r="A136" s="2"/>
      <c r="B136" s="11" t="s">
        <v>466</v>
      </c>
      <c r="C136" s="2"/>
      <c r="D136" s="2"/>
      <c r="E136" s="2"/>
      <c r="F136" s="2"/>
      <c r="G136" s="3"/>
      <c r="H136" s="2"/>
      <c r="I136" s="3"/>
      <c r="J136" s="22">
        <f>SUM(J128:J135)</f>
        <v>18513.200800000002</v>
      </c>
    </row>
    <row r="137" spans="1:10" s="8" customFormat="1" ht="12.75">
      <c r="A137" s="14" t="s">
        <v>157</v>
      </c>
      <c r="B137" s="14" t="s">
        <v>158</v>
      </c>
      <c r="C137" s="30"/>
      <c r="D137" s="30"/>
      <c r="E137" s="30"/>
      <c r="F137" s="30"/>
      <c r="G137" s="31"/>
      <c r="H137" s="30"/>
      <c r="I137" s="31"/>
      <c r="J137" s="32"/>
    </row>
    <row r="138" spans="1:10" s="8" customFormat="1" ht="12.75">
      <c r="A138" s="13" t="s">
        <v>159</v>
      </c>
      <c r="B138" s="13" t="s">
        <v>160</v>
      </c>
      <c r="C138" s="24"/>
      <c r="D138" s="24"/>
      <c r="E138" s="24"/>
      <c r="F138" s="24"/>
      <c r="G138" s="25"/>
      <c r="H138" s="24"/>
      <c r="I138" s="25"/>
      <c r="J138" s="12"/>
    </row>
    <row r="139" spans="1:10" ht="12.75">
      <c r="A139" s="2" t="s">
        <v>401</v>
      </c>
      <c r="B139" s="2" t="s">
        <v>161</v>
      </c>
      <c r="C139" s="2" t="s">
        <v>52</v>
      </c>
      <c r="D139" s="2" t="s">
        <v>13</v>
      </c>
      <c r="E139" s="2">
        <v>358.19</v>
      </c>
      <c r="F139" s="2">
        <v>23.11</v>
      </c>
      <c r="G139" s="3">
        <f>F139*E139</f>
        <v>8277.7709</v>
      </c>
      <c r="H139" s="2">
        <v>0</v>
      </c>
      <c r="I139" s="3">
        <f>H139*E139</f>
        <v>0</v>
      </c>
      <c r="J139" s="6">
        <f>G139+I139</f>
        <v>8277.7709</v>
      </c>
    </row>
    <row r="140" spans="1:10" ht="12.75">
      <c r="A140" s="2" t="s">
        <v>402</v>
      </c>
      <c r="B140" s="2" t="s">
        <v>162</v>
      </c>
      <c r="C140" s="2" t="s">
        <v>23</v>
      </c>
      <c r="D140" s="2" t="s">
        <v>13</v>
      </c>
      <c r="E140" s="2">
        <v>358.19</v>
      </c>
      <c r="F140" s="2">
        <v>6.4</v>
      </c>
      <c r="G140" s="3">
        <f>F140*E140</f>
        <v>2292.416</v>
      </c>
      <c r="H140" s="2">
        <v>0.29</v>
      </c>
      <c r="I140" s="3">
        <f>H140*E140</f>
        <v>103.87509999999999</v>
      </c>
      <c r="J140" s="6">
        <f>G140+I140</f>
        <v>2396.2911000000004</v>
      </c>
    </row>
    <row r="141" spans="1:10" s="8" customFormat="1" ht="12.75">
      <c r="A141" s="13" t="s">
        <v>163</v>
      </c>
      <c r="B141" s="13" t="s">
        <v>164</v>
      </c>
      <c r="C141" s="24"/>
      <c r="D141" s="24"/>
      <c r="E141" s="24"/>
      <c r="F141" s="24"/>
      <c r="G141" s="25"/>
      <c r="H141" s="24"/>
      <c r="I141" s="25"/>
      <c r="J141" s="12"/>
    </row>
    <row r="142" spans="1:10" ht="25.5">
      <c r="A142" s="2" t="s">
        <v>403</v>
      </c>
      <c r="B142" s="2" t="s">
        <v>165</v>
      </c>
      <c r="C142" s="2" t="s">
        <v>23</v>
      </c>
      <c r="D142" s="2" t="s">
        <v>13</v>
      </c>
      <c r="E142" s="2">
        <v>247.59</v>
      </c>
      <c r="F142" s="2">
        <v>36.07</v>
      </c>
      <c r="G142" s="3">
        <f>F142*E142</f>
        <v>8930.5713</v>
      </c>
      <c r="H142" s="2">
        <v>2.38</v>
      </c>
      <c r="I142" s="3">
        <f>H142*E142</f>
        <v>589.2642</v>
      </c>
      <c r="J142" s="6">
        <f>G142+I142</f>
        <v>9519.8355</v>
      </c>
    </row>
    <row r="143" spans="1:10" ht="25.5">
      <c r="A143" s="2" t="s">
        <v>472</v>
      </c>
      <c r="B143" s="2" t="s">
        <v>473</v>
      </c>
      <c r="C143" s="2" t="s">
        <v>52</v>
      </c>
      <c r="D143" s="2" t="s">
        <v>13</v>
      </c>
      <c r="E143" s="2">
        <v>235.8</v>
      </c>
      <c r="F143" s="2">
        <v>6.5</v>
      </c>
      <c r="G143" s="3">
        <f>F143*E143</f>
        <v>1532.7</v>
      </c>
      <c r="H143" s="2">
        <v>0</v>
      </c>
      <c r="I143" s="3">
        <f>H143*E143</f>
        <v>0</v>
      </c>
      <c r="J143" s="6">
        <f>G143+I143</f>
        <v>1532.7</v>
      </c>
    </row>
    <row r="144" spans="1:10" s="8" customFormat="1" ht="12.75">
      <c r="A144" s="13" t="s">
        <v>166</v>
      </c>
      <c r="B144" s="13" t="s">
        <v>167</v>
      </c>
      <c r="C144" s="24"/>
      <c r="D144" s="24"/>
      <c r="E144" s="24"/>
      <c r="F144" s="24"/>
      <c r="G144" s="25"/>
      <c r="H144" s="24"/>
      <c r="I144" s="25"/>
      <c r="J144" s="12"/>
    </row>
    <row r="145" spans="1:10" ht="25.5">
      <c r="A145" s="2" t="s">
        <v>404</v>
      </c>
      <c r="B145" s="2" t="s">
        <v>168</v>
      </c>
      <c r="C145" s="2" t="s">
        <v>23</v>
      </c>
      <c r="D145" s="2" t="s">
        <v>13</v>
      </c>
      <c r="E145" s="2">
        <v>32.24</v>
      </c>
      <c r="F145" s="2">
        <v>133.17</v>
      </c>
      <c r="G145" s="3">
        <f>F145*E145</f>
        <v>4293.400799999999</v>
      </c>
      <c r="H145" s="2">
        <v>2.86</v>
      </c>
      <c r="I145" s="3">
        <f>H145*E145</f>
        <v>92.2064</v>
      </c>
      <c r="J145" s="6">
        <f>G145+I145</f>
        <v>4385.6071999999995</v>
      </c>
    </row>
    <row r="146" spans="1:10" s="8" customFormat="1" ht="12.75">
      <c r="A146" s="13" t="s">
        <v>169</v>
      </c>
      <c r="B146" s="13" t="s">
        <v>170</v>
      </c>
      <c r="C146" s="24"/>
      <c r="D146" s="24"/>
      <c r="E146" s="24"/>
      <c r="F146" s="24"/>
      <c r="G146" s="25"/>
      <c r="H146" s="24"/>
      <c r="I146" s="25"/>
      <c r="J146" s="12"/>
    </row>
    <row r="147" spans="1:10" ht="25.5">
      <c r="A147" s="2" t="s">
        <v>405</v>
      </c>
      <c r="B147" s="2" t="s">
        <v>171</v>
      </c>
      <c r="C147" s="2" t="s">
        <v>23</v>
      </c>
      <c r="D147" s="2" t="s">
        <v>13</v>
      </c>
      <c r="E147" s="2">
        <v>89.89</v>
      </c>
      <c r="F147" s="2">
        <v>6.01</v>
      </c>
      <c r="G147" s="3">
        <f>F147*E147</f>
        <v>540.2389</v>
      </c>
      <c r="H147" s="2">
        <v>24.22</v>
      </c>
      <c r="I147" s="3">
        <f>H147*E147</f>
        <v>2177.1358</v>
      </c>
      <c r="J147" s="6">
        <f>G147+I147</f>
        <v>2717.3747</v>
      </c>
    </row>
    <row r="148" spans="1:10" ht="12.75">
      <c r="A148" s="2" t="s">
        <v>406</v>
      </c>
      <c r="B148" s="2" t="s">
        <v>172</v>
      </c>
      <c r="C148" s="2" t="s">
        <v>52</v>
      </c>
      <c r="D148" s="2" t="s">
        <v>13</v>
      </c>
      <c r="E148" s="2">
        <v>89.89</v>
      </c>
      <c r="F148" s="2">
        <v>20</v>
      </c>
      <c r="G148" s="3">
        <f>F148*E148</f>
        <v>1797.8</v>
      </c>
      <c r="H148" s="2">
        <v>0</v>
      </c>
      <c r="I148" s="3">
        <f>H148*E148</f>
        <v>0</v>
      </c>
      <c r="J148" s="6">
        <f>G148+I148</f>
        <v>1797.8</v>
      </c>
    </row>
    <row r="149" spans="1:10" ht="12.75">
      <c r="A149" s="2"/>
      <c r="B149" s="11" t="s">
        <v>466</v>
      </c>
      <c r="C149" s="2"/>
      <c r="D149" s="2"/>
      <c r="E149" s="2"/>
      <c r="F149" s="2"/>
      <c r="G149" s="3"/>
      <c r="H149" s="2"/>
      <c r="I149" s="3"/>
      <c r="J149" s="22">
        <f>SUM(J139:J148)</f>
        <v>30627.379399999998</v>
      </c>
    </row>
    <row r="150" spans="1:10" s="8" customFormat="1" ht="12.75">
      <c r="A150" s="14" t="s">
        <v>173</v>
      </c>
      <c r="B150" s="14" t="s">
        <v>174</v>
      </c>
      <c r="C150" s="30"/>
      <c r="D150" s="30"/>
      <c r="E150" s="30"/>
      <c r="F150" s="30"/>
      <c r="G150" s="31"/>
      <c r="H150" s="30"/>
      <c r="I150" s="31"/>
      <c r="J150" s="32"/>
    </row>
    <row r="151" spans="1:10" s="8" customFormat="1" ht="12.75">
      <c r="A151" s="13" t="s">
        <v>175</v>
      </c>
      <c r="B151" s="13" t="s">
        <v>176</v>
      </c>
      <c r="C151" s="24"/>
      <c r="D151" s="24"/>
      <c r="E151" s="24"/>
      <c r="F151" s="24"/>
      <c r="G151" s="25"/>
      <c r="H151" s="24"/>
      <c r="I151" s="25"/>
      <c r="J151" s="12"/>
    </row>
    <row r="152" spans="1:10" ht="12.75">
      <c r="A152" s="2" t="s">
        <v>407</v>
      </c>
      <c r="B152" s="2" t="s">
        <v>177</v>
      </c>
      <c r="C152" s="2" t="s">
        <v>52</v>
      </c>
      <c r="D152" s="2" t="s">
        <v>37</v>
      </c>
      <c r="E152" s="2">
        <v>12</v>
      </c>
      <c r="F152" s="2">
        <v>34.89</v>
      </c>
      <c r="G152" s="3">
        <f>F152*E152</f>
        <v>418.68</v>
      </c>
      <c r="H152" s="2">
        <v>0</v>
      </c>
      <c r="I152" s="3">
        <f>H152*E152</f>
        <v>0</v>
      </c>
      <c r="J152" s="6">
        <f>G152+I152</f>
        <v>418.68</v>
      </c>
    </row>
    <row r="153" spans="1:10" s="8" customFormat="1" ht="12.75">
      <c r="A153" s="13" t="s">
        <v>178</v>
      </c>
      <c r="B153" s="13" t="s">
        <v>179</v>
      </c>
      <c r="C153" s="24"/>
      <c r="D153" s="24"/>
      <c r="E153" s="24"/>
      <c r="F153" s="24"/>
      <c r="G153" s="25"/>
      <c r="H153" s="24"/>
      <c r="I153" s="25"/>
      <c r="J153" s="12"/>
    </row>
    <row r="154" spans="1:10" s="29" customFormat="1" ht="12.75">
      <c r="A154" s="26" t="s">
        <v>408</v>
      </c>
      <c r="B154" s="26" t="s">
        <v>180</v>
      </c>
      <c r="C154" s="26" t="s">
        <v>23</v>
      </c>
      <c r="D154" s="26" t="s">
        <v>156</v>
      </c>
      <c r="E154" s="26">
        <v>53.3</v>
      </c>
      <c r="F154" s="26">
        <v>8.72</v>
      </c>
      <c r="G154" s="27">
        <f>F154*E154</f>
        <v>464.776</v>
      </c>
      <c r="H154" s="26">
        <v>6.18</v>
      </c>
      <c r="I154" s="27">
        <f>H154*E154</f>
        <v>329.39399999999995</v>
      </c>
      <c r="J154" s="28">
        <f>G154+I154</f>
        <v>794.17</v>
      </c>
    </row>
    <row r="155" spans="1:10" ht="12.75">
      <c r="A155" s="2" t="s">
        <v>409</v>
      </c>
      <c r="B155" s="2" t="s">
        <v>181</v>
      </c>
      <c r="C155" s="2" t="s">
        <v>52</v>
      </c>
      <c r="D155" s="2" t="s">
        <v>37</v>
      </c>
      <c r="E155" s="2">
        <v>154.91</v>
      </c>
      <c r="F155" s="2">
        <v>6.54</v>
      </c>
      <c r="G155" s="3">
        <f>F155*E155</f>
        <v>1013.1114</v>
      </c>
      <c r="H155" s="2">
        <v>0</v>
      </c>
      <c r="I155" s="3">
        <f>H155*E155</f>
        <v>0</v>
      </c>
      <c r="J155" s="6">
        <f>G155+I155</f>
        <v>1013.1114</v>
      </c>
    </row>
    <row r="156" spans="1:10" ht="12.75">
      <c r="A156" s="2"/>
      <c r="B156" s="11" t="s">
        <v>466</v>
      </c>
      <c r="C156" s="2"/>
      <c r="D156" s="2"/>
      <c r="E156" s="2"/>
      <c r="F156" s="2"/>
      <c r="G156" s="3"/>
      <c r="H156" s="2"/>
      <c r="I156" s="3"/>
      <c r="J156" s="22">
        <f>SUM(J152:J155)</f>
        <v>2225.9614</v>
      </c>
    </row>
    <row r="157" spans="1:10" s="8" customFormat="1" ht="12.75">
      <c r="A157" s="14" t="s">
        <v>182</v>
      </c>
      <c r="B157" s="14" t="s">
        <v>183</v>
      </c>
      <c r="C157" s="30"/>
      <c r="D157" s="30"/>
      <c r="E157" s="30"/>
      <c r="F157" s="30"/>
      <c r="G157" s="31"/>
      <c r="H157" s="30"/>
      <c r="I157" s="31"/>
      <c r="J157" s="32"/>
    </row>
    <row r="158" spans="1:10" s="8" customFormat="1" ht="12.75">
      <c r="A158" s="13" t="s">
        <v>184</v>
      </c>
      <c r="B158" s="13" t="s">
        <v>185</v>
      </c>
      <c r="C158" s="24"/>
      <c r="D158" s="24"/>
      <c r="E158" s="24"/>
      <c r="F158" s="24"/>
      <c r="G158" s="25"/>
      <c r="H158" s="24"/>
      <c r="I158" s="25"/>
      <c r="J158" s="12"/>
    </row>
    <row r="159" spans="1:10" ht="25.5">
      <c r="A159" s="2" t="s">
        <v>410</v>
      </c>
      <c r="B159" s="2" t="s">
        <v>186</v>
      </c>
      <c r="C159" s="2" t="s">
        <v>23</v>
      </c>
      <c r="D159" s="2" t="s">
        <v>17</v>
      </c>
      <c r="E159" s="2">
        <v>6</v>
      </c>
      <c r="F159" s="2">
        <v>279.76</v>
      </c>
      <c r="G159" s="3">
        <f>F159*E159</f>
        <v>1678.56</v>
      </c>
      <c r="H159" s="2">
        <v>52.19</v>
      </c>
      <c r="I159" s="3">
        <f>H159*E159</f>
        <v>313.14</v>
      </c>
      <c r="J159" s="6">
        <f>G159+I159</f>
        <v>1991.6999999999998</v>
      </c>
    </row>
    <row r="160" spans="1:10" ht="25.5">
      <c r="A160" s="2" t="s">
        <v>411</v>
      </c>
      <c r="B160" s="2" t="s">
        <v>187</v>
      </c>
      <c r="C160" s="2" t="s">
        <v>23</v>
      </c>
      <c r="D160" s="2" t="s">
        <v>17</v>
      </c>
      <c r="E160" s="2">
        <v>4</v>
      </c>
      <c r="F160" s="2">
        <v>348.84</v>
      </c>
      <c r="G160" s="3">
        <f>F160*E160</f>
        <v>1395.36</v>
      </c>
      <c r="H160" s="2">
        <v>61.23</v>
      </c>
      <c r="I160" s="3">
        <f>H160*E160</f>
        <v>244.92</v>
      </c>
      <c r="J160" s="6">
        <f>G160+I160</f>
        <v>1640.28</v>
      </c>
    </row>
    <row r="161" spans="1:10" s="8" customFormat="1" ht="12.75">
      <c r="A161" s="13" t="s">
        <v>188</v>
      </c>
      <c r="B161" s="13" t="s">
        <v>189</v>
      </c>
      <c r="C161" s="24"/>
      <c r="D161" s="24"/>
      <c r="E161" s="24"/>
      <c r="F161" s="24"/>
      <c r="G161" s="25"/>
      <c r="H161" s="24"/>
      <c r="I161" s="25"/>
      <c r="J161" s="12"/>
    </row>
    <row r="162" spans="1:10" ht="25.5">
      <c r="A162" s="2" t="s">
        <v>412</v>
      </c>
      <c r="B162" s="2" t="s">
        <v>190</v>
      </c>
      <c r="C162" s="2" t="s">
        <v>23</v>
      </c>
      <c r="D162" s="2" t="s">
        <v>191</v>
      </c>
      <c r="E162" s="2">
        <v>3</v>
      </c>
      <c r="F162" s="2">
        <v>1350.34</v>
      </c>
      <c r="G162" s="3">
        <f>F162*E162</f>
        <v>4051.0199999999995</v>
      </c>
      <c r="H162" s="2">
        <v>0</v>
      </c>
      <c r="I162" s="3">
        <f>H162*E162</f>
        <v>0</v>
      </c>
      <c r="J162" s="6">
        <f>G162+I162</f>
        <v>4051.0199999999995</v>
      </c>
    </row>
    <row r="163" spans="1:10" s="8" customFormat="1" ht="12.75">
      <c r="A163" s="13" t="s">
        <v>192</v>
      </c>
      <c r="B163" s="13" t="s">
        <v>193</v>
      </c>
      <c r="C163" s="24"/>
      <c r="D163" s="24"/>
      <c r="E163" s="24"/>
      <c r="F163" s="24"/>
      <c r="G163" s="25"/>
      <c r="H163" s="24"/>
      <c r="I163" s="25"/>
      <c r="J163" s="12"/>
    </row>
    <row r="164" spans="1:10" ht="25.5">
      <c r="A164" s="2" t="s">
        <v>413</v>
      </c>
      <c r="B164" s="2" t="s">
        <v>194</v>
      </c>
      <c r="C164" s="2" t="s">
        <v>23</v>
      </c>
      <c r="D164" s="2" t="s">
        <v>17</v>
      </c>
      <c r="E164" s="2">
        <v>1</v>
      </c>
      <c r="F164" s="2">
        <v>1037.56</v>
      </c>
      <c r="G164" s="3">
        <f>F164*E164</f>
        <v>1037.56</v>
      </c>
      <c r="H164" s="2">
        <v>0</v>
      </c>
      <c r="I164" s="3">
        <f>H164*E164</f>
        <v>0</v>
      </c>
      <c r="J164" s="6">
        <f>G164+I164</f>
        <v>1037.56</v>
      </c>
    </row>
    <row r="165" spans="1:10" ht="25.5">
      <c r="A165" s="2" t="s">
        <v>414</v>
      </c>
      <c r="B165" s="2" t="s">
        <v>195</v>
      </c>
      <c r="C165" s="2" t="s">
        <v>23</v>
      </c>
      <c r="D165" s="2" t="s">
        <v>17</v>
      </c>
      <c r="E165" s="2">
        <v>1</v>
      </c>
      <c r="F165" s="2">
        <v>5707.93</v>
      </c>
      <c r="G165" s="3">
        <f>F165*E165</f>
        <v>5707.93</v>
      </c>
      <c r="H165" s="2">
        <v>0</v>
      </c>
      <c r="I165" s="3">
        <f>H165*E165</f>
        <v>0</v>
      </c>
      <c r="J165" s="6">
        <f>G165+I165</f>
        <v>5707.93</v>
      </c>
    </row>
    <row r="166" spans="1:10" s="8" customFormat="1" ht="12.75">
      <c r="A166" s="13" t="s">
        <v>196</v>
      </c>
      <c r="B166" s="13" t="s">
        <v>197</v>
      </c>
      <c r="C166" s="24"/>
      <c r="D166" s="24"/>
      <c r="E166" s="24"/>
      <c r="F166" s="24"/>
      <c r="G166" s="25"/>
      <c r="H166" s="24"/>
      <c r="I166" s="25"/>
      <c r="J166" s="12"/>
    </row>
    <row r="167" spans="1:10" ht="25.5">
      <c r="A167" s="2" t="s">
        <v>415</v>
      </c>
      <c r="B167" s="2" t="s">
        <v>198</v>
      </c>
      <c r="C167" s="2" t="s">
        <v>23</v>
      </c>
      <c r="D167" s="2" t="s">
        <v>13</v>
      </c>
      <c r="E167" s="2">
        <v>2</v>
      </c>
      <c r="F167" s="2">
        <v>422.95</v>
      </c>
      <c r="G167" s="3">
        <f>F167*E167</f>
        <v>845.9</v>
      </c>
      <c r="H167" s="2">
        <v>0</v>
      </c>
      <c r="I167" s="3">
        <f>H167*E167</f>
        <v>0</v>
      </c>
      <c r="J167" s="6">
        <f>G167+I167</f>
        <v>845.9</v>
      </c>
    </row>
    <row r="168" spans="1:10" ht="25.5">
      <c r="A168" s="2" t="s">
        <v>416</v>
      </c>
      <c r="B168" s="2" t="s">
        <v>199</v>
      </c>
      <c r="C168" s="2" t="s">
        <v>23</v>
      </c>
      <c r="D168" s="2" t="s">
        <v>13</v>
      </c>
      <c r="E168" s="2">
        <v>41.6</v>
      </c>
      <c r="F168" s="2">
        <v>483.74</v>
      </c>
      <c r="G168" s="3">
        <f>F168*E168</f>
        <v>20123.584000000003</v>
      </c>
      <c r="H168" s="2">
        <v>0</v>
      </c>
      <c r="I168" s="3">
        <f>H168*E168</f>
        <v>0</v>
      </c>
      <c r="J168" s="6">
        <f>G168+I168</f>
        <v>20123.584000000003</v>
      </c>
    </row>
    <row r="169" spans="1:10" s="8" customFormat="1" ht="12.75">
      <c r="A169" s="13" t="s">
        <v>200</v>
      </c>
      <c r="B169" s="13" t="s">
        <v>201</v>
      </c>
      <c r="C169" s="24"/>
      <c r="D169" s="24"/>
      <c r="E169" s="24"/>
      <c r="F169" s="24"/>
      <c r="G169" s="25"/>
      <c r="H169" s="24"/>
      <c r="I169" s="25"/>
      <c r="J169" s="12"/>
    </row>
    <row r="170" spans="1:10" ht="25.5">
      <c r="A170" s="2" t="s">
        <v>417</v>
      </c>
      <c r="B170" s="2" t="s">
        <v>202</v>
      </c>
      <c r="C170" s="2" t="s">
        <v>23</v>
      </c>
      <c r="D170" s="2" t="s">
        <v>13</v>
      </c>
      <c r="E170" s="2">
        <v>8.55</v>
      </c>
      <c r="F170" s="2">
        <v>1.83</v>
      </c>
      <c r="G170" s="3">
        <f>F170*E170</f>
        <v>15.646500000000001</v>
      </c>
      <c r="H170" s="2">
        <v>0.58</v>
      </c>
      <c r="I170" s="3">
        <f>H170*E170</f>
        <v>4.959</v>
      </c>
      <c r="J170" s="6">
        <f>G170+I170</f>
        <v>20.6055</v>
      </c>
    </row>
    <row r="171" spans="1:10" s="8" customFormat="1" ht="12.75">
      <c r="A171" s="13" t="s">
        <v>203</v>
      </c>
      <c r="B171" s="13" t="s">
        <v>204</v>
      </c>
      <c r="C171" s="24"/>
      <c r="D171" s="24"/>
      <c r="E171" s="24"/>
      <c r="F171" s="24"/>
      <c r="G171" s="25"/>
      <c r="H171" s="24"/>
      <c r="I171" s="25"/>
      <c r="J171" s="12"/>
    </row>
    <row r="172" spans="1:10" ht="12.75">
      <c r="A172" s="2" t="s">
        <v>418</v>
      </c>
      <c r="B172" s="2" t="s">
        <v>205</v>
      </c>
      <c r="C172" s="2" t="s">
        <v>52</v>
      </c>
      <c r="D172" s="2" t="s">
        <v>17</v>
      </c>
      <c r="E172" s="2">
        <v>1</v>
      </c>
      <c r="F172" s="2">
        <v>150</v>
      </c>
      <c r="G172" s="3">
        <f>F172*E172</f>
        <v>150</v>
      </c>
      <c r="H172" s="2">
        <v>0</v>
      </c>
      <c r="I172" s="3">
        <f>H172*E172</f>
        <v>0</v>
      </c>
      <c r="J172" s="6">
        <f>G172+I172</f>
        <v>150</v>
      </c>
    </row>
    <row r="173" spans="1:10" ht="12.75">
      <c r="A173" s="2" t="s">
        <v>419</v>
      </c>
      <c r="B173" s="2" t="s">
        <v>206</v>
      </c>
      <c r="C173" s="2" t="s">
        <v>23</v>
      </c>
      <c r="D173" s="2" t="s">
        <v>17</v>
      </c>
      <c r="E173" s="2">
        <v>1</v>
      </c>
      <c r="F173" s="2">
        <v>170</v>
      </c>
      <c r="G173" s="3">
        <f>F173*E173</f>
        <v>170</v>
      </c>
      <c r="H173" s="2">
        <v>13.05</v>
      </c>
      <c r="I173" s="3">
        <f>H173*E173</f>
        <v>13.05</v>
      </c>
      <c r="J173" s="6">
        <f>G173+I173</f>
        <v>183.05</v>
      </c>
    </row>
    <row r="174" spans="1:10" ht="12.75">
      <c r="A174" s="2"/>
      <c r="B174" s="11" t="s">
        <v>466</v>
      </c>
      <c r="C174" s="2"/>
      <c r="D174" s="2"/>
      <c r="E174" s="2"/>
      <c r="F174" s="2"/>
      <c r="G174" s="3"/>
      <c r="H174" s="2"/>
      <c r="I174" s="3"/>
      <c r="J174" s="22">
        <f>SUM(J159:J173)</f>
        <v>35751.6295</v>
      </c>
    </row>
    <row r="175" spans="1:10" s="8" customFormat="1" ht="12.75">
      <c r="A175" s="14" t="s">
        <v>207</v>
      </c>
      <c r="B175" s="14" t="s">
        <v>208</v>
      </c>
      <c r="C175" s="30"/>
      <c r="D175" s="30"/>
      <c r="E175" s="30"/>
      <c r="F175" s="30"/>
      <c r="G175" s="31"/>
      <c r="H175" s="30"/>
      <c r="I175" s="31"/>
      <c r="J175" s="32"/>
    </row>
    <row r="176" spans="1:10" s="8" customFormat="1" ht="12.75">
      <c r="A176" s="13" t="s">
        <v>209</v>
      </c>
      <c r="B176" s="13" t="s">
        <v>210</v>
      </c>
      <c r="C176" s="24"/>
      <c r="D176" s="24"/>
      <c r="E176" s="24"/>
      <c r="F176" s="24"/>
      <c r="G176" s="25"/>
      <c r="H176" s="24"/>
      <c r="I176" s="25"/>
      <c r="J176" s="12"/>
    </row>
    <row r="177" spans="1:10" ht="12.75">
      <c r="A177" s="2" t="s">
        <v>420</v>
      </c>
      <c r="B177" s="2" t="s">
        <v>211</v>
      </c>
      <c r="C177" s="2" t="s">
        <v>52</v>
      </c>
      <c r="D177" s="2" t="s">
        <v>13</v>
      </c>
      <c r="E177" s="2">
        <v>17.1</v>
      </c>
      <c r="F177" s="2">
        <v>97.63</v>
      </c>
      <c r="G177" s="3">
        <f>F177*E177</f>
        <v>1669.473</v>
      </c>
      <c r="H177" s="2">
        <v>0</v>
      </c>
      <c r="I177" s="3">
        <f>H177*E177</f>
        <v>0</v>
      </c>
      <c r="J177" s="6">
        <f>G177+I177</f>
        <v>1669.473</v>
      </c>
    </row>
    <row r="178" spans="1:10" s="8" customFormat="1" ht="12.75">
      <c r="A178" s="13" t="s">
        <v>212</v>
      </c>
      <c r="B178" s="13" t="s">
        <v>213</v>
      </c>
      <c r="C178" s="24"/>
      <c r="D178" s="24"/>
      <c r="E178" s="24"/>
      <c r="F178" s="24"/>
      <c r="G178" s="25"/>
      <c r="H178" s="24"/>
      <c r="I178" s="25"/>
      <c r="J178" s="12"/>
    </row>
    <row r="179" spans="1:10" ht="12.75">
      <c r="A179" s="2" t="s">
        <v>421</v>
      </c>
      <c r="B179" s="2" t="s">
        <v>214</v>
      </c>
      <c r="C179" s="2" t="s">
        <v>52</v>
      </c>
      <c r="D179" s="2" t="s">
        <v>13</v>
      </c>
      <c r="E179" s="2">
        <v>2.4</v>
      </c>
      <c r="F179" s="2">
        <v>86.54</v>
      </c>
      <c r="G179" s="3">
        <f>F179*E179</f>
        <v>207.696</v>
      </c>
      <c r="H179" s="2">
        <v>0</v>
      </c>
      <c r="I179" s="3">
        <f>H179*E179</f>
        <v>0</v>
      </c>
      <c r="J179" s="6">
        <f>G179+I179</f>
        <v>207.696</v>
      </c>
    </row>
    <row r="180" spans="1:10" ht="12.75">
      <c r="A180" s="2" t="s">
        <v>422</v>
      </c>
      <c r="B180" s="2" t="s">
        <v>215</v>
      </c>
      <c r="C180" s="2" t="s">
        <v>52</v>
      </c>
      <c r="D180" s="2" t="s">
        <v>13</v>
      </c>
      <c r="E180" s="2">
        <v>0.48</v>
      </c>
      <c r="F180" s="2">
        <v>119.76</v>
      </c>
      <c r="G180" s="3">
        <f>F180*E180</f>
        <v>57.4848</v>
      </c>
      <c r="H180" s="2">
        <v>0</v>
      </c>
      <c r="I180" s="3">
        <f>H180*E180</f>
        <v>0</v>
      </c>
      <c r="J180" s="6">
        <f>G180+I180</f>
        <v>57.4848</v>
      </c>
    </row>
    <row r="181" spans="1:10" ht="12.75">
      <c r="A181" s="2"/>
      <c r="B181" s="11" t="s">
        <v>466</v>
      </c>
      <c r="C181" s="2"/>
      <c r="D181" s="2"/>
      <c r="E181" s="2"/>
      <c r="F181" s="2"/>
      <c r="G181" s="3"/>
      <c r="H181" s="2"/>
      <c r="I181" s="3"/>
      <c r="J181" s="22">
        <f>SUM(J177:J180)</f>
        <v>1934.6537999999998</v>
      </c>
    </row>
    <row r="182" spans="1:10" s="8" customFormat="1" ht="12.75">
      <c r="A182" s="14" t="s">
        <v>216</v>
      </c>
      <c r="B182" s="14" t="s">
        <v>217</v>
      </c>
      <c r="C182" s="30"/>
      <c r="D182" s="30"/>
      <c r="E182" s="30"/>
      <c r="F182" s="30"/>
      <c r="G182" s="31"/>
      <c r="H182" s="30"/>
      <c r="I182" s="31"/>
      <c r="J182" s="32"/>
    </row>
    <row r="183" spans="1:10" s="8" customFormat="1" ht="12.75">
      <c r="A183" s="13" t="s">
        <v>218</v>
      </c>
      <c r="B183" s="13" t="s">
        <v>219</v>
      </c>
      <c r="C183" s="24"/>
      <c r="D183" s="24"/>
      <c r="E183" s="24"/>
      <c r="F183" s="24"/>
      <c r="G183" s="25"/>
      <c r="H183" s="24"/>
      <c r="I183" s="25"/>
      <c r="J183" s="12"/>
    </row>
    <row r="184" spans="1:10" ht="12.75">
      <c r="A184" s="2" t="s">
        <v>423</v>
      </c>
      <c r="B184" s="2" t="s">
        <v>220</v>
      </c>
      <c r="C184" s="2" t="s">
        <v>52</v>
      </c>
      <c r="D184" s="2" t="s">
        <v>13</v>
      </c>
      <c r="E184" s="2">
        <v>43.6</v>
      </c>
      <c r="F184" s="2">
        <v>140.46</v>
      </c>
      <c r="G184" s="3">
        <f>F184*E184</f>
        <v>6124.0560000000005</v>
      </c>
      <c r="H184" s="2">
        <v>0</v>
      </c>
      <c r="I184" s="3">
        <f>H184*E184</f>
        <v>0</v>
      </c>
      <c r="J184" s="6">
        <f>G184+I184</f>
        <v>6124.0560000000005</v>
      </c>
    </row>
    <row r="185" spans="1:10" ht="12.75">
      <c r="A185" s="2"/>
      <c r="B185" s="11" t="s">
        <v>466</v>
      </c>
      <c r="C185" s="2"/>
      <c r="D185" s="2"/>
      <c r="E185" s="2"/>
      <c r="F185" s="2"/>
      <c r="G185" s="3"/>
      <c r="H185" s="2"/>
      <c r="I185" s="3"/>
      <c r="J185" s="22">
        <f>SUM(J184)</f>
        <v>6124.0560000000005</v>
      </c>
    </row>
    <row r="186" spans="1:10" s="8" customFormat="1" ht="12.75">
      <c r="A186" s="14" t="s">
        <v>221</v>
      </c>
      <c r="B186" s="14" t="s">
        <v>222</v>
      </c>
      <c r="C186" s="30"/>
      <c r="D186" s="30"/>
      <c r="E186" s="30"/>
      <c r="F186" s="30"/>
      <c r="G186" s="31"/>
      <c r="H186" s="30"/>
      <c r="I186" s="31"/>
      <c r="J186" s="32"/>
    </row>
    <row r="187" spans="1:10" s="8" customFormat="1" ht="12.75">
      <c r="A187" s="13" t="s">
        <v>223</v>
      </c>
      <c r="B187" s="13" t="s">
        <v>224</v>
      </c>
      <c r="C187" s="24"/>
      <c r="D187" s="24"/>
      <c r="E187" s="24"/>
      <c r="F187" s="24"/>
      <c r="G187" s="25"/>
      <c r="H187" s="24"/>
      <c r="I187" s="25"/>
      <c r="J187" s="12"/>
    </row>
    <row r="188" spans="1:10" ht="25.5">
      <c r="A188" s="2" t="s">
        <v>424</v>
      </c>
      <c r="B188" s="2" t="s">
        <v>225</v>
      </c>
      <c r="C188" s="2" t="s">
        <v>23</v>
      </c>
      <c r="D188" s="2" t="s">
        <v>13</v>
      </c>
      <c r="E188" s="2">
        <v>345.89</v>
      </c>
      <c r="F188" s="2">
        <v>39.26</v>
      </c>
      <c r="G188" s="3">
        <f>F188*E188</f>
        <v>13579.641399999999</v>
      </c>
      <c r="H188" s="2">
        <v>0</v>
      </c>
      <c r="I188" s="3">
        <f>H188*E188</f>
        <v>0</v>
      </c>
      <c r="J188" s="6">
        <f>G188+I188</f>
        <v>13579.641399999999</v>
      </c>
    </row>
    <row r="189" spans="1:10" ht="12.75">
      <c r="A189" s="2"/>
      <c r="B189" s="11" t="s">
        <v>466</v>
      </c>
      <c r="C189" s="2"/>
      <c r="D189" s="2"/>
      <c r="E189" s="2"/>
      <c r="F189" s="2"/>
      <c r="G189" s="3"/>
      <c r="H189" s="2"/>
      <c r="I189" s="3"/>
      <c r="J189" s="22">
        <f>SUM(J188)</f>
        <v>13579.641399999999</v>
      </c>
    </row>
    <row r="190" spans="1:10" s="8" customFormat="1" ht="12.75">
      <c r="A190" s="14" t="s">
        <v>226</v>
      </c>
      <c r="B190" s="14" t="s">
        <v>227</v>
      </c>
      <c r="C190" s="30"/>
      <c r="D190" s="30"/>
      <c r="E190" s="30"/>
      <c r="F190" s="30"/>
      <c r="G190" s="31"/>
      <c r="H190" s="30"/>
      <c r="I190" s="31"/>
      <c r="J190" s="32"/>
    </row>
    <row r="191" spans="1:10" s="8" customFormat="1" ht="12.75">
      <c r="A191" s="13" t="s">
        <v>228</v>
      </c>
      <c r="B191" s="13" t="s">
        <v>229</v>
      </c>
      <c r="C191" s="24"/>
      <c r="D191" s="24"/>
      <c r="E191" s="24"/>
      <c r="F191" s="24"/>
      <c r="G191" s="25"/>
      <c r="H191" s="24"/>
      <c r="I191" s="25"/>
      <c r="J191" s="12"/>
    </row>
    <row r="192" spans="1:10" ht="25.5">
      <c r="A192" s="2" t="s">
        <v>425</v>
      </c>
      <c r="B192" s="2" t="s">
        <v>230</v>
      </c>
      <c r="C192" s="2" t="s">
        <v>23</v>
      </c>
      <c r="D192" s="2" t="s">
        <v>13</v>
      </c>
      <c r="E192" s="2">
        <v>997.23</v>
      </c>
      <c r="F192" s="2">
        <v>3.17</v>
      </c>
      <c r="G192" s="3">
        <f>F192*E192</f>
        <v>3161.2191</v>
      </c>
      <c r="H192" s="2">
        <v>3.67</v>
      </c>
      <c r="I192" s="3">
        <f>H192*E192</f>
        <v>3659.8341</v>
      </c>
      <c r="J192" s="6">
        <f>G192+I192</f>
        <v>6821.0532</v>
      </c>
    </row>
    <row r="193" spans="1:10" ht="12.75">
      <c r="A193" s="2" t="s">
        <v>426</v>
      </c>
      <c r="B193" s="2" t="s">
        <v>231</v>
      </c>
      <c r="C193" s="2" t="s">
        <v>23</v>
      </c>
      <c r="D193" s="2" t="s">
        <v>13</v>
      </c>
      <c r="E193" s="2">
        <v>123.4</v>
      </c>
      <c r="F193" s="2">
        <v>2.43</v>
      </c>
      <c r="G193" s="3">
        <f>F193*E193</f>
        <v>299.862</v>
      </c>
      <c r="H193" s="2">
        <v>5.1</v>
      </c>
      <c r="I193" s="3">
        <f>H193*E193</f>
        <v>629.34</v>
      </c>
      <c r="J193" s="6">
        <f>G193+I193</f>
        <v>929.202</v>
      </c>
    </row>
    <row r="194" spans="1:10" ht="12.75">
      <c r="A194" s="2" t="s">
        <v>427</v>
      </c>
      <c r="B194" s="2" t="s">
        <v>232</v>
      </c>
      <c r="C194" s="2" t="s">
        <v>23</v>
      </c>
      <c r="D194" s="2" t="s">
        <v>13</v>
      </c>
      <c r="E194" s="2">
        <v>527.94</v>
      </c>
      <c r="F194" s="2">
        <v>3.96</v>
      </c>
      <c r="G194" s="3">
        <f>F194*E194</f>
        <v>2090.6424</v>
      </c>
      <c r="H194" s="2">
        <v>7.56</v>
      </c>
      <c r="I194" s="3">
        <f>H194*E194</f>
        <v>3991.2264</v>
      </c>
      <c r="J194" s="6">
        <f>G194+I194</f>
        <v>6081.8688</v>
      </c>
    </row>
    <row r="195" spans="1:10" ht="12.75">
      <c r="A195" s="2" t="s">
        <v>428</v>
      </c>
      <c r="B195" s="2" t="s">
        <v>24</v>
      </c>
      <c r="C195" s="2" t="s">
        <v>23</v>
      </c>
      <c r="D195" s="2" t="s">
        <v>13</v>
      </c>
      <c r="E195" s="2">
        <v>345.89</v>
      </c>
      <c r="F195" s="2">
        <v>2.43</v>
      </c>
      <c r="G195" s="3">
        <f>F195*E195</f>
        <v>840.5127</v>
      </c>
      <c r="H195" s="2">
        <v>4.81</v>
      </c>
      <c r="I195" s="3">
        <f>H195*E195</f>
        <v>1663.7308999999998</v>
      </c>
      <c r="J195" s="6">
        <f>G195+I195</f>
        <v>2504.2436</v>
      </c>
    </row>
    <row r="196" spans="1:10" s="8" customFormat="1" ht="12.75">
      <c r="A196" s="13" t="s">
        <v>233</v>
      </c>
      <c r="B196" s="13" t="s">
        <v>234</v>
      </c>
      <c r="C196" s="24"/>
      <c r="D196" s="24"/>
      <c r="E196" s="24"/>
      <c r="F196" s="24"/>
      <c r="G196" s="25"/>
      <c r="H196" s="24"/>
      <c r="I196" s="25"/>
      <c r="J196" s="12"/>
    </row>
    <row r="197" spans="1:10" ht="12.75">
      <c r="A197" s="2" t="s">
        <v>429</v>
      </c>
      <c r="B197" s="2" t="s">
        <v>235</v>
      </c>
      <c r="C197" s="2" t="s">
        <v>23</v>
      </c>
      <c r="D197" s="2" t="s">
        <v>13</v>
      </c>
      <c r="E197" s="2">
        <v>68.42</v>
      </c>
      <c r="F197" s="2">
        <v>4.53</v>
      </c>
      <c r="G197" s="3">
        <f>F197*E197</f>
        <v>309.9426</v>
      </c>
      <c r="H197" s="2">
        <v>4.39</v>
      </c>
      <c r="I197" s="3">
        <f>H197*E197</f>
        <v>300.36379999999997</v>
      </c>
      <c r="J197" s="6">
        <f>G197+I197</f>
        <v>610.3063999999999</v>
      </c>
    </row>
    <row r="198" spans="1:10" ht="25.5">
      <c r="A198" s="2" t="s">
        <v>430</v>
      </c>
      <c r="B198" s="2" t="s">
        <v>236</v>
      </c>
      <c r="C198" s="2" t="s">
        <v>23</v>
      </c>
      <c r="D198" s="2" t="s">
        <v>13</v>
      </c>
      <c r="E198" s="2">
        <v>68.42</v>
      </c>
      <c r="F198" s="2">
        <v>2.96</v>
      </c>
      <c r="G198" s="3">
        <f>F198*E198</f>
        <v>202.5232</v>
      </c>
      <c r="H198" s="2">
        <v>5.08</v>
      </c>
      <c r="I198" s="3">
        <f>H198*E198</f>
        <v>347.5736</v>
      </c>
      <c r="J198" s="6">
        <f>G198+I198</f>
        <v>550.0968</v>
      </c>
    </row>
    <row r="199" spans="1:10" s="8" customFormat="1" ht="12.75">
      <c r="A199" s="13" t="s">
        <v>237</v>
      </c>
      <c r="B199" s="13" t="s">
        <v>238</v>
      </c>
      <c r="C199" s="24"/>
      <c r="D199" s="24"/>
      <c r="E199" s="24"/>
      <c r="F199" s="24"/>
      <c r="G199" s="25"/>
      <c r="H199" s="24"/>
      <c r="I199" s="25"/>
      <c r="J199" s="12"/>
    </row>
    <row r="200" spans="1:10" ht="25.5">
      <c r="A200" s="2" t="s">
        <v>431</v>
      </c>
      <c r="B200" s="2" t="s">
        <v>239</v>
      </c>
      <c r="C200" s="2" t="s">
        <v>23</v>
      </c>
      <c r="D200" s="2" t="s">
        <v>13</v>
      </c>
      <c r="E200" s="2">
        <v>24.57</v>
      </c>
      <c r="F200" s="2">
        <v>4.44</v>
      </c>
      <c r="G200" s="3">
        <f>F200*E200</f>
        <v>109.09080000000002</v>
      </c>
      <c r="H200" s="2">
        <v>9.48</v>
      </c>
      <c r="I200" s="3">
        <f>H200*E200</f>
        <v>232.92360000000002</v>
      </c>
      <c r="J200" s="6">
        <f>G200+I200</f>
        <v>342.0144</v>
      </c>
    </row>
    <row r="201" spans="1:10" s="8" customFormat="1" ht="12.75">
      <c r="A201" s="13" t="s">
        <v>240</v>
      </c>
      <c r="B201" s="13" t="s">
        <v>241</v>
      </c>
      <c r="C201" s="24"/>
      <c r="D201" s="24"/>
      <c r="E201" s="24"/>
      <c r="F201" s="24"/>
      <c r="G201" s="25"/>
      <c r="H201" s="24"/>
      <c r="I201" s="25"/>
      <c r="J201" s="12"/>
    </row>
    <row r="202" spans="1:10" ht="12.75">
      <c r="A202" s="2" t="s">
        <v>432</v>
      </c>
      <c r="B202" s="2" t="s">
        <v>242</v>
      </c>
      <c r="C202" s="2" t="s">
        <v>23</v>
      </c>
      <c r="D202" s="2" t="s">
        <v>13</v>
      </c>
      <c r="E202" s="2">
        <v>8.55</v>
      </c>
      <c r="F202" s="2">
        <v>4.12</v>
      </c>
      <c r="G202" s="3">
        <f>F202*E202</f>
        <v>35.226000000000006</v>
      </c>
      <c r="H202" s="2">
        <v>10.68</v>
      </c>
      <c r="I202" s="3">
        <f>H202*E202</f>
        <v>91.31400000000001</v>
      </c>
      <c r="J202" s="6">
        <f>G202+I202</f>
        <v>126.54000000000002</v>
      </c>
    </row>
    <row r="203" spans="1:10" ht="12.75">
      <c r="A203" s="2"/>
      <c r="B203" s="11" t="s">
        <v>466</v>
      </c>
      <c r="C203" s="2"/>
      <c r="D203" s="2"/>
      <c r="E203" s="2"/>
      <c r="F203" s="2"/>
      <c r="G203" s="3"/>
      <c r="H203" s="2"/>
      <c r="I203" s="3"/>
      <c r="J203" s="22">
        <f>SUM(J192:J202)</f>
        <v>17965.3252</v>
      </c>
    </row>
    <row r="204" spans="1:10" s="8" customFormat="1" ht="12.75">
      <c r="A204" s="14" t="s">
        <v>243</v>
      </c>
      <c r="B204" s="14" t="s">
        <v>244</v>
      </c>
      <c r="C204" s="30"/>
      <c r="D204" s="30"/>
      <c r="E204" s="30"/>
      <c r="F204" s="30"/>
      <c r="G204" s="31"/>
      <c r="H204" s="30"/>
      <c r="I204" s="31"/>
      <c r="J204" s="32"/>
    </row>
    <row r="205" spans="1:10" s="8" customFormat="1" ht="12.75">
      <c r="A205" s="13" t="s">
        <v>245</v>
      </c>
      <c r="B205" s="13" t="s">
        <v>246</v>
      </c>
      <c r="C205" s="24"/>
      <c r="D205" s="24"/>
      <c r="E205" s="24"/>
      <c r="F205" s="24"/>
      <c r="G205" s="25"/>
      <c r="H205" s="24"/>
      <c r="I205" s="25"/>
      <c r="J205" s="12"/>
    </row>
    <row r="206" spans="1:10" ht="12.75">
      <c r="A206" s="2" t="s">
        <v>433</v>
      </c>
      <c r="B206" s="2" t="s">
        <v>247</v>
      </c>
      <c r="C206" s="2" t="s">
        <v>23</v>
      </c>
      <c r="D206" s="2" t="s">
        <v>17</v>
      </c>
      <c r="E206" s="2">
        <v>3</v>
      </c>
      <c r="F206" s="2">
        <v>32.27</v>
      </c>
      <c r="G206" s="3">
        <f>F206*E206</f>
        <v>96.81</v>
      </c>
      <c r="H206" s="2">
        <v>20.16</v>
      </c>
      <c r="I206" s="3">
        <f>H206*E206</f>
        <v>60.480000000000004</v>
      </c>
      <c r="J206" s="6">
        <f>G206+I206</f>
        <v>157.29000000000002</v>
      </c>
    </row>
    <row r="207" spans="1:10" ht="12.75">
      <c r="A207" s="2" t="s">
        <v>434</v>
      </c>
      <c r="B207" s="2" t="s">
        <v>248</v>
      </c>
      <c r="C207" s="2" t="s">
        <v>52</v>
      </c>
      <c r="D207" s="2" t="s">
        <v>17</v>
      </c>
      <c r="E207" s="2">
        <v>3</v>
      </c>
      <c r="F207" s="2">
        <v>142.66</v>
      </c>
      <c r="G207" s="3">
        <f>F207*E207</f>
        <v>427.98</v>
      </c>
      <c r="H207" s="2">
        <v>0</v>
      </c>
      <c r="I207" s="3">
        <f>H207*E207</f>
        <v>0</v>
      </c>
      <c r="J207" s="6">
        <f>G207+I207</f>
        <v>427.98</v>
      </c>
    </row>
    <row r="208" spans="1:10" ht="25.5">
      <c r="A208" s="2" t="s">
        <v>435</v>
      </c>
      <c r="B208" s="2" t="s">
        <v>249</v>
      </c>
      <c r="C208" s="2" t="s">
        <v>23</v>
      </c>
      <c r="D208" s="2" t="s">
        <v>17</v>
      </c>
      <c r="E208" s="2">
        <v>1</v>
      </c>
      <c r="F208" s="2">
        <v>536</v>
      </c>
      <c r="G208" s="3">
        <f>F208*E208</f>
        <v>536</v>
      </c>
      <c r="H208" s="2">
        <v>38.97</v>
      </c>
      <c r="I208" s="3">
        <f>H208*E208</f>
        <v>38.97</v>
      </c>
      <c r="J208" s="6">
        <f>G208+I208</f>
        <v>574.97</v>
      </c>
    </row>
    <row r="209" spans="1:10" ht="12.75">
      <c r="A209" s="2" t="s">
        <v>436</v>
      </c>
      <c r="B209" s="2" t="s">
        <v>250</v>
      </c>
      <c r="C209" s="2" t="s">
        <v>23</v>
      </c>
      <c r="D209" s="2" t="s">
        <v>17</v>
      </c>
      <c r="E209" s="2">
        <v>5</v>
      </c>
      <c r="F209" s="2">
        <v>230.61</v>
      </c>
      <c r="G209" s="3">
        <f>F209*E209</f>
        <v>1153.0500000000002</v>
      </c>
      <c r="H209" s="2">
        <v>40.32</v>
      </c>
      <c r="I209" s="3">
        <f>H209*E209</f>
        <v>201.6</v>
      </c>
      <c r="J209" s="6">
        <f>G209+I209</f>
        <v>1354.65</v>
      </c>
    </row>
    <row r="210" spans="1:10" s="8" customFormat="1" ht="12.75">
      <c r="A210" s="13" t="s">
        <v>251</v>
      </c>
      <c r="B210" s="13" t="s">
        <v>252</v>
      </c>
      <c r="C210" s="24"/>
      <c r="D210" s="24"/>
      <c r="E210" s="24"/>
      <c r="F210" s="24"/>
      <c r="G210" s="25"/>
      <c r="H210" s="24"/>
      <c r="I210" s="25"/>
      <c r="J210" s="12"/>
    </row>
    <row r="211" spans="1:10" ht="12.75">
      <c r="A211" s="2" t="s">
        <v>437</v>
      </c>
      <c r="B211" s="2" t="s">
        <v>253</v>
      </c>
      <c r="C211" s="2" t="s">
        <v>23</v>
      </c>
      <c r="D211" s="2" t="s">
        <v>17</v>
      </c>
      <c r="E211" s="2">
        <v>1</v>
      </c>
      <c r="F211" s="2">
        <v>19.06</v>
      </c>
      <c r="G211" s="3">
        <f>F211*E211</f>
        <v>19.06</v>
      </c>
      <c r="H211" s="2">
        <v>6.72</v>
      </c>
      <c r="I211" s="3">
        <f>H211*E211</f>
        <v>6.72</v>
      </c>
      <c r="J211" s="6">
        <f>G211+I211</f>
        <v>25.779999999999998</v>
      </c>
    </row>
    <row r="212" spans="1:10" ht="12.75">
      <c r="A212" s="2" t="s">
        <v>438</v>
      </c>
      <c r="B212" s="2" t="s">
        <v>254</v>
      </c>
      <c r="C212" s="2" t="s">
        <v>52</v>
      </c>
      <c r="D212" s="2" t="s">
        <v>17</v>
      </c>
      <c r="E212" s="2">
        <v>6</v>
      </c>
      <c r="F212" s="2">
        <v>158.85</v>
      </c>
      <c r="G212" s="3">
        <f>F212*E212</f>
        <v>953.0999999999999</v>
      </c>
      <c r="H212" s="2">
        <v>0</v>
      </c>
      <c r="I212" s="3">
        <f>H212*E212</f>
        <v>0</v>
      </c>
      <c r="J212" s="6">
        <f>G212+I212</f>
        <v>953.0999999999999</v>
      </c>
    </row>
    <row r="213" spans="1:10" ht="12.75">
      <c r="A213" s="2" t="s">
        <v>439</v>
      </c>
      <c r="B213" s="2" t="s">
        <v>255</v>
      </c>
      <c r="C213" s="2" t="s">
        <v>52</v>
      </c>
      <c r="D213" s="2" t="s">
        <v>17</v>
      </c>
      <c r="E213" s="2">
        <v>1</v>
      </c>
      <c r="F213" s="2">
        <v>183.89</v>
      </c>
      <c r="G213" s="3">
        <f>F213*E213</f>
        <v>183.89</v>
      </c>
      <c r="H213" s="2">
        <v>0</v>
      </c>
      <c r="I213" s="3">
        <f>H213*E213</f>
        <v>0</v>
      </c>
      <c r="J213" s="6">
        <f>G213+I213</f>
        <v>183.89</v>
      </c>
    </row>
    <row r="214" spans="1:10" ht="12.75">
      <c r="A214" s="2" t="s">
        <v>440</v>
      </c>
      <c r="B214" s="2" t="s">
        <v>256</v>
      </c>
      <c r="C214" s="2" t="s">
        <v>52</v>
      </c>
      <c r="D214" s="2" t="s">
        <v>17</v>
      </c>
      <c r="E214" s="2">
        <v>1</v>
      </c>
      <c r="F214" s="2">
        <v>118.63</v>
      </c>
      <c r="G214" s="3">
        <f>F214*E214</f>
        <v>118.63</v>
      </c>
      <c r="H214" s="2">
        <v>0</v>
      </c>
      <c r="I214" s="3">
        <f>H214*E214</f>
        <v>0</v>
      </c>
      <c r="J214" s="6">
        <f>G214+I214</f>
        <v>118.63</v>
      </c>
    </row>
    <row r="215" spans="1:10" ht="12.75">
      <c r="A215" s="2" t="s">
        <v>441</v>
      </c>
      <c r="B215" s="2" t="s">
        <v>257</v>
      </c>
      <c r="C215" s="2" t="s">
        <v>52</v>
      </c>
      <c r="D215" s="2" t="s">
        <v>17</v>
      </c>
      <c r="E215" s="2">
        <v>1</v>
      </c>
      <c r="F215" s="2">
        <v>198.49</v>
      </c>
      <c r="G215" s="3">
        <f>F215*E215</f>
        <v>198.49</v>
      </c>
      <c r="H215" s="2">
        <v>0</v>
      </c>
      <c r="I215" s="3">
        <f>H215*E215</f>
        <v>0</v>
      </c>
      <c r="J215" s="6">
        <f>G215+I215</f>
        <v>198.49</v>
      </c>
    </row>
    <row r="216" spans="1:10" s="8" customFormat="1" ht="12.75">
      <c r="A216" s="13" t="s">
        <v>258</v>
      </c>
      <c r="B216" s="13" t="s">
        <v>259</v>
      </c>
      <c r="C216" s="24"/>
      <c r="D216" s="24"/>
      <c r="E216" s="24"/>
      <c r="F216" s="24"/>
      <c r="G216" s="25"/>
      <c r="H216" s="24"/>
      <c r="I216" s="25"/>
      <c r="J216" s="12"/>
    </row>
    <row r="217" spans="1:10" ht="12.75">
      <c r="A217" s="2" t="s">
        <v>442</v>
      </c>
      <c r="B217" s="2" t="s">
        <v>260</v>
      </c>
      <c r="C217" s="2" t="s">
        <v>52</v>
      </c>
      <c r="D217" s="2" t="s">
        <v>17</v>
      </c>
      <c r="E217" s="2">
        <v>6</v>
      </c>
      <c r="F217" s="2">
        <v>5.56</v>
      </c>
      <c r="G217" s="3">
        <f aca="true" t="shared" si="12" ref="G217:G224">F217*E217</f>
        <v>33.36</v>
      </c>
      <c r="H217" s="2">
        <v>0</v>
      </c>
      <c r="I217" s="3">
        <f aca="true" t="shared" si="13" ref="I217:I224">H217*E217</f>
        <v>0</v>
      </c>
      <c r="J217" s="6">
        <f aca="true" t="shared" si="14" ref="J217:J224">G217+I217</f>
        <v>33.36</v>
      </c>
    </row>
    <row r="218" spans="1:10" ht="12.75">
      <c r="A218" s="2" t="s">
        <v>443</v>
      </c>
      <c r="B218" s="2" t="s">
        <v>261</v>
      </c>
      <c r="C218" s="2" t="s">
        <v>52</v>
      </c>
      <c r="D218" s="2" t="s">
        <v>17</v>
      </c>
      <c r="E218" s="2">
        <v>1</v>
      </c>
      <c r="F218" s="2">
        <v>28.25</v>
      </c>
      <c r="G218" s="3">
        <f t="shared" si="12"/>
        <v>28.25</v>
      </c>
      <c r="H218" s="2">
        <v>0</v>
      </c>
      <c r="I218" s="3">
        <f t="shared" si="13"/>
        <v>0</v>
      </c>
      <c r="J218" s="6">
        <f t="shared" si="14"/>
        <v>28.25</v>
      </c>
    </row>
    <row r="219" spans="1:10" ht="12.75">
      <c r="A219" s="2" t="s">
        <v>444</v>
      </c>
      <c r="B219" s="2" t="s">
        <v>262</v>
      </c>
      <c r="C219" s="2" t="s">
        <v>52</v>
      </c>
      <c r="D219" s="2" t="s">
        <v>17</v>
      </c>
      <c r="E219" s="2">
        <v>1</v>
      </c>
      <c r="F219" s="2">
        <v>5.56</v>
      </c>
      <c r="G219" s="3">
        <f t="shared" si="12"/>
        <v>5.56</v>
      </c>
      <c r="H219" s="2">
        <v>0</v>
      </c>
      <c r="I219" s="3">
        <f t="shared" si="13"/>
        <v>0</v>
      </c>
      <c r="J219" s="6">
        <f t="shared" si="14"/>
        <v>5.56</v>
      </c>
    </row>
    <row r="220" spans="1:10" ht="12.75">
      <c r="A220" s="2" t="s">
        <v>445</v>
      </c>
      <c r="B220" s="2" t="s">
        <v>263</v>
      </c>
      <c r="C220" s="2" t="s">
        <v>52</v>
      </c>
      <c r="D220" s="2" t="s">
        <v>17</v>
      </c>
      <c r="E220" s="2">
        <v>3</v>
      </c>
      <c r="F220" s="2">
        <v>71.09</v>
      </c>
      <c r="G220" s="3">
        <f t="shared" si="12"/>
        <v>213.27</v>
      </c>
      <c r="H220" s="2">
        <v>0</v>
      </c>
      <c r="I220" s="3">
        <f t="shared" si="13"/>
        <v>0</v>
      </c>
      <c r="J220" s="6">
        <f t="shared" si="14"/>
        <v>213.27</v>
      </c>
    </row>
    <row r="221" spans="1:10" ht="12.75">
      <c r="A221" s="2" t="s">
        <v>446</v>
      </c>
      <c r="B221" s="2" t="s">
        <v>264</v>
      </c>
      <c r="C221" s="2" t="s">
        <v>52</v>
      </c>
      <c r="D221" s="2" t="s">
        <v>17</v>
      </c>
      <c r="E221" s="2">
        <v>12</v>
      </c>
      <c r="F221" s="2">
        <v>18.37</v>
      </c>
      <c r="G221" s="3">
        <f t="shared" si="12"/>
        <v>220.44</v>
      </c>
      <c r="H221" s="2">
        <v>0</v>
      </c>
      <c r="I221" s="3">
        <f t="shared" si="13"/>
        <v>0</v>
      </c>
      <c r="J221" s="6">
        <f t="shared" si="14"/>
        <v>220.44</v>
      </c>
    </row>
    <row r="222" spans="1:10" ht="12.75">
      <c r="A222" s="2" t="s">
        <v>447</v>
      </c>
      <c r="B222" s="2" t="s">
        <v>265</v>
      </c>
      <c r="C222" s="2" t="s">
        <v>52</v>
      </c>
      <c r="D222" s="2" t="s">
        <v>17</v>
      </c>
      <c r="E222" s="2">
        <v>1</v>
      </c>
      <c r="F222" s="2">
        <v>28.96</v>
      </c>
      <c r="G222" s="3">
        <f t="shared" si="12"/>
        <v>28.96</v>
      </c>
      <c r="H222" s="2">
        <v>0</v>
      </c>
      <c r="I222" s="3">
        <f t="shared" si="13"/>
        <v>0</v>
      </c>
      <c r="J222" s="6">
        <f t="shared" si="14"/>
        <v>28.96</v>
      </c>
    </row>
    <row r="223" spans="1:10" ht="12.75">
      <c r="A223" s="2" t="s">
        <v>448</v>
      </c>
      <c r="B223" s="2" t="s">
        <v>266</v>
      </c>
      <c r="C223" s="2" t="s">
        <v>52</v>
      </c>
      <c r="D223" s="2" t="s">
        <v>17</v>
      </c>
      <c r="E223" s="2">
        <v>6</v>
      </c>
      <c r="F223" s="2">
        <v>2.39</v>
      </c>
      <c r="G223" s="3">
        <f t="shared" si="12"/>
        <v>14.34</v>
      </c>
      <c r="H223" s="2">
        <v>0</v>
      </c>
      <c r="I223" s="3">
        <f t="shared" si="13"/>
        <v>0</v>
      </c>
      <c r="J223" s="6">
        <f t="shared" si="14"/>
        <v>14.34</v>
      </c>
    </row>
    <row r="224" spans="1:10" ht="12.75">
      <c r="A224" s="2" t="s">
        <v>449</v>
      </c>
      <c r="B224" s="2" t="s">
        <v>267</v>
      </c>
      <c r="C224" s="2" t="s">
        <v>52</v>
      </c>
      <c r="D224" s="2" t="s">
        <v>17</v>
      </c>
      <c r="E224" s="2">
        <v>1</v>
      </c>
      <c r="F224" s="2">
        <v>88.99</v>
      </c>
      <c r="G224" s="3">
        <f t="shared" si="12"/>
        <v>88.99</v>
      </c>
      <c r="H224" s="2">
        <v>0</v>
      </c>
      <c r="I224" s="3">
        <f t="shared" si="13"/>
        <v>0</v>
      </c>
      <c r="J224" s="6">
        <f t="shared" si="14"/>
        <v>88.99</v>
      </c>
    </row>
    <row r="225" spans="1:10" s="8" customFormat="1" ht="12.75">
      <c r="A225" s="13" t="s">
        <v>268</v>
      </c>
      <c r="B225" s="13" t="s">
        <v>269</v>
      </c>
      <c r="C225" s="24"/>
      <c r="D225" s="24"/>
      <c r="E225" s="24"/>
      <c r="F225" s="24"/>
      <c r="G225" s="25"/>
      <c r="H225" s="24"/>
      <c r="I225" s="25"/>
      <c r="J225" s="12"/>
    </row>
    <row r="226" spans="1:10" ht="25.5">
      <c r="A226" s="2" t="s">
        <v>450</v>
      </c>
      <c r="B226" s="2" t="s">
        <v>270</v>
      </c>
      <c r="C226" s="2" t="s">
        <v>52</v>
      </c>
      <c r="D226" s="2" t="s">
        <v>13</v>
      </c>
      <c r="E226" s="2">
        <v>6.74</v>
      </c>
      <c r="F226" s="2">
        <v>250</v>
      </c>
      <c r="G226" s="3">
        <f>F226*E226</f>
        <v>1685</v>
      </c>
      <c r="H226" s="2">
        <v>0</v>
      </c>
      <c r="I226" s="3">
        <f>H226*E226</f>
        <v>0</v>
      </c>
      <c r="J226" s="6">
        <f>G226+I226</f>
        <v>1685</v>
      </c>
    </row>
    <row r="227" spans="1:10" s="8" customFormat="1" ht="12.75">
      <c r="A227" s="13" t="s">
        <v>271</v>
      </c>
      <c r="B227" s="13" t="s">
        <v>204</v>
      </c>
      <c r="C227" s="24"/>
      <c r="D227" s="24"/>
      <c r="E227" s="24"/>
      <c r="F227" s="24"/>
      <c r="G227" s="25"/>
      <c r="H227" s="24"/>
      <c r="I227" s="25"/>
      <c r="J227" s="12"/>
    </row>
    <row r="228" spans="1:10" ht="25.5">
      <c r="A228" s="2" t="s">
        <v>451</v>
      </c>
      <c r="B228" s="2" t="s">
        <v>272</v>
      </c>
      <c r="C228" s="2" t="s">
        <v>23</v>
      </c>
      <c r="D228" s="2" t="s">
        <v>17</v>
      </c>
      <c r="E228" s="2">
        <v>1</v>
      </c>
      <c r="F228" s="2">
        <v>300.04</v>
      </c>
      <c r="G228" s="3">
        <f>F228*E228</f>
        <v>300.04</v>
      </c>
      <c r="H228" s="2">
        <v>27.96</v>
      </c>
      <c r="I228" s="3">
        <f>H228*E228</f>
        <v>27.96</v>
      </c>
      <c r="J228" s="6">
        <f>G228+I228</f>
        <v>328</v>
      </c>
    </row>
    <row r="229" spans="1:10" ht="12.75">
      <c r="A229" s="2" t="s">
        <v>452</v>
      </c>
      <c r="B229" s="2" t="s">
        <v>273</v>
      </c>
      <c r="C229" s="2" t="s">
        <v>52</v>
      </c>
      <c r="D229" s="2" t="s">
        <v>17</v>
      </c>
      <c r="E229" s="2">
        <v>2</v>
      </c>
      <c r="F229" s="2">
        <v>170</v>
      </c>
      <c r="G229" s="3">
        <f>F229*E229</f>
        <v>340</v>
      </c>
      <c r="H229" s="2">
        <v>0</v>
      </c>
      <c r="I229" s="3">
        <f>H229*E229</f>
        <v>0</v>
      </c>
      <c r="J229" s="6">
        <f>G229+I229</f>
        <v>340</v>
      </c>
    </row>
    <row r="230" spans="1:10" ht="12.75">
      <c r="A230" s="2"/>
      <c r="B230" s="11" t="s">
        <v>466</v>
      </c>
      <c r="C230" s="2"/>
      <c r="D230" s="2"/>
      <c r="E230" s="2"/>
      <c r="F230" s="2"/>
      <c r="G230" s="3"/>
      <c r="H230" s="2"/>
      <c r="I230" s="3"/>
      <c r="J230" s="22">
        <f>SUM(J206:J229)</f>
        <v>6980.950000000001</v>
      </c>
    </row>
    <row r="231" spans="1:10" s="8" customFormat="1" ht="12.75">
      <c r="A231" s="14" t="s">
        <v>274</v>
      </c>
      <c r="B231" s="14" t="s">
        <v>275</v>
      </c>
      <c r="C231" s="30"/>
      <c r="D231" s="30"/>
      <c r="E231" s="30"/>
      <c r="F231" s="30"/>
      <c r="G231" s="31"/>
      <c r="H231" s="30"/>
      <c r="I231" s="31"/>
      <c r="J231" s="32"/>
    </row>
    <row r="232" spans="1:10" s="8" customFormat="1" ht="12.75">
      <c r="A232" s="13" t="s">
        <v>276</v>
      </c>
      <c r="B232" s="13" t="s">
        <v>277</v>
      </c>
      <c r="C232" s="24"/>
      <c r="D232" s="24"/>
      <c r="E232" s="24"/>
      <c r="F232" s="24"/>
      <c r="G232" s="25"/>
      <c r="H232" s="24"/>
      <c r="I232" s="25"/>
      <c r="J232" s="12"/>
    </row>
    <row r="233" spans="1:10" ht="25.5">
      <c r="A233" s="2" t="s">
        <v>453</v>
      </c>
      <c r="B233" s="2" t="s">
        <v>278</v>
      </c>
      <c r="C233" s="2" t="s">
        <v>23</v>
      </c>
      <c r="D233" s="2" t="s">
        <v>17</v>
      </c>
      <c r="E233" s="2">
        <v>1</v>
      </c>
      <c r="F233" s="2">
        <v>95.43</v>
      </c>
      <c r="G233" s="3">
        <f>F233*E233</f>
        <v>95.43</v>
      </c>
      <c r="H233" s="2">
        <v>6.09</v>
      </c>
      <c r="I233" s="3">
        <f>H233*E233</f>
        <v>6.09</v>
      </c>
      <c r="J233" s="6">
        <f>G233+I233</f>
        <v>101.52000000000001</v>
      </c>
    </row>
    <row r="234" spans="1:10" ht="25.5">
      <c r="A234" s="2" t="s">
        <v>454</v>
      </c>
      <c r="B234" s="2" t="s">
        <v>279</v>
      </c>
      <c r="C234" s="2" t="s">
        <v>23</v>
      </c>
      <c r="D234" s="2" t="s">
        <v>17</v>
      </c>
      <c r="E234" s="2">
        <v>1</v>
      </c>
      <c r="F234" s="2">
        <v>83.94</v>
      </c>
      <c r="G234" s="3">
        <f>F234*E234</f>
        <v>83.94</v>
      </c>
      <c r="H234" s="2">
        <v>6.09</v>
      </c>
      <c r="I234" s="3">
        <f>H234*E234</f>
        <v>6.09</v>
      </c>
      <c r="J234" s="6">
        <f>G234+I234</f>
        <v>90.03</v>
      </c>
    </row>
    <row r="235" spans="1:10" s="8" customFormat="1" ht="12.75">
      <c r="A235" s="13" t="s">
        <v>280</v>
      </c>
      <c r="B235" s="13" t="s">
        <v>281</v>
      </c>
      <c r="C235" s="24"/>
      <c r="D235" s="24"/>
      <c r="E235" s="24"/>
      <c r="F235" s="24"/>
      <c r="G235" s="25"/>
      <c r="H235" s="24"/>
      <c r="I235" s="25"/>
      <c r="J235" s="12"/>
    </row>
    <row r="236" spans="1:10" ht="38.25">
      <c r="A236" s="2" t="s">
        <v>455</v>
      </c>
      <c r="B236" s="2" t="s">
        <v>282</v>
      </c>
      <c r="C236" s="2" t="s">
        <v>52</v>
      </c>
      <c r="D236" s="2" t="s">
        <v>17</v>
      </c>
      <c r="E236" s="2">
        <v>2</v>
      </c>
      <c r="F236" s="2">
        <v>111.4</v>
      </c>
      <c r="G236" s="3">
        <f>F236*E236</f>
        <v>222.8</v>
      </c>
      <c r="H236" s="2">
        <v>0</v>
      </c>
      <c r="I236" s="3">
        <f>H236*E236</f>
        <v>0</v>
      </c>
      <c r="J236" s="6">
        <f>G236+I236</f>
        <v>222.8</v>
      </c>
    </row>
    <row r="237" spans="1:10" ht="25.5">
      <c r="A237" s="2" t="s">
        <v>456</v>
      </c>
      <c r="B237" s="2" t="s">
        <v>283</v>
      </c>
      <c r="C237" s="2" t="s">
        <v>52</v>
      </c>
      <c r="D237" s="2" t="s">
        <v>17</v>
      </c>
      <c r="E237" s="2">
        <v>1</v>
      </c>
      <c r="F237" s="2">
        <v>57.9</v>
      </c>
      <c r="G237" s="3">
        <f>F237*E237</f>
        <v>57.9</v>
      </c>
      <c r="H237" s="2">
        <v>0</v>
      </c>
      <c r="I237" s="3">
        <f>H237*E237</f>
        <v>0</v>
      </c>
      <c r="J237" s="6">
        <f>G237+I237</f>
        <v>57.9</v>
      </c>
    </row>
    <row r="238" spans="1:10" s="8" customFormat="1" ht="12.75">
      <c r="A238" s="13" t="s">
        <v>284</v>
      </c>
      <c r="B238" s="13" t="s">
        <v>285</v>
      </c>
      <c r="C238" s="24"/>
      <c r="D238" s="24"/>
      <c r="E238" s="24"/>
      <c r="F238" s="24"/>
      <c r="G238" s="25"/>
      <c r="H238" s="24"/>
      <c r="I238" s="25"/>
      <c r="J238" s="12"/>
    </row>
    <row r="239" spans="1:10" ht="12.75">
      <c r="A239" s="2" t="s">
        <v>457</v>
      </c>
      <c r="B239" s="2" t="s">
        <v>286</v>
      </c>
      <c r="C239" s="2" t="s">
        <v>52</v>
      </c>
      <c r="D239" s="2" t="s">
        <v>17</v>
      </c>
      <c r="E239" s="2">
        <v>5</v>
      </c>
      <c r="F239" s="2">
        <v>57.9</v>
      </c>
      <c r="G239" s="3">
        <f>F239*E239</f>
        <v>289.5</v>
      </c>
      <c r="H239" s="2">
        <v>0</v>
      </c>
      <c r="I239" s="3">
        <f>H239*E239</f>
        <v>0</v>
      </c>
      <c r="J239" s="6">
        <f>G239+I239</f>
        <v>289.5</v>
      </c>
    </row>
    <row r="240" spans="1:10" ht="12.75">
      <c r="A240" s="2"/>
      <c r="B240" s="11" t="s">
        <v>466</v>
      </c>
      <c r="C240" s="2"/>
      <c r="D240" s="2"/>
      <c r="E240" s="2"/>
      <c r="F240" s="2"/>
      <c r="G240" s="3"/>
      <c r="H240" s="2"/>
      <c r="I240" s="3"/>
      <c r="J240" s="22">
        <f>SUM(J233:J239)</f>
        <v>761.75</v>
      </c>
    </row>
    <row r="241" spans="1:10" s="8" customFormat="1" ht="12.75">
      <c r="A241" s="14" t="s">
        <v>287</v>
      </c>
      <c r="B241" s="14" t="s">
        <v>288</v>
      </c>
      <c r="C241" s="30"/>
      <c r="D241" s="30"/>
      <c r="E241" s="30"/>
      <c r="F241" s="30"/>
      <c r="G241" s="31"/>
      <c r="H241" s="30"/>
      <c r="I241" s="31"/>
      <c r="J241" s="32"/>
    </row>
    <row r="242" spans="1:10" s="8" customFormat="1" ht="12.75">
      <c r="A242" s="13" t="s">
        <v>289</v>
      </c>
      <c r="B242" s="13" t="s">
        <v>290</v>
      </c>
      <c r="C242" s="24"/>
      <c r="D242" s="24"/>
      <c r="E242" s="24"/>
      <c r="F242" s="24"/>
      <c r="G242" s="25"/>
      <c r="H242" s="24"/>
      <c r="I242" s="25"/>
      <c r="J242" s="12"/>
    </row>
    <row r="243" spans="1:10" ht="25.5">
      <c r="A243" s="2" t="s">
        <v>458</v>
      </c>
      <c r="B243" s="2" t="s">
        <v>291</v>
      </c>
      <c r="C243" s="2" t="s">
        <v>52</v>
      </c>
      <c r="D243" s="2" t="s">
        <v>13</v>
      </c>
      <c r="E243" s="2">
        <v>3.08</v>
      </c>
      <c r="F243" s="2">
        <v>75</v>
      </c>
      <c r="G243" s="3">
        <f>F243*E243</f>
        <v>231</v>
      </c>
      <c r="H243" s="2">
        <v>0</v>
      </c>
      <c r="I243" s="3">
        <f>H243*E243</f>
        <v>0</v>
      </c>
      <c r="J243" s="6">
        <f>G243+I243</f>
        <v>231</v>
      </c>
    </row>
    <row r="244" spans="1:10" ht="38.25">
      <c r="A244" s="2" t="s">
        <v>459</v>
      </c>
      <c r="B244" s="2" t="s">
        <v>292</v>
      </c>
      <c r="C244" s="2" t="s">
        <v>52</v>
      </c>
      <c r="D244" s="2" t="s">
        <v>13</v>
      </c>
      <c r="E244" s="2">
        <v>0.18</v>
      </c>
      <c r="F244" s="2">
        <v>150</v>
      </c>
      <c r="G244" s="3">
        <f>F244*E244</f>
        <v>27</v>
      </c>
      <c r="H244" s="2">
        <v>0</v>
      </c>
      <c r="I244" s="3">
        <f>H244*E244</f>
        <v>0</v>
      </c>
      <c r="J244" s="6">
        <f>G244+I244</f>
        <v>27</v>
      </c>
    </row>
    <row r="245" spans="1:10" ht="12.75">
      <c r="A245" s="2"/>
      <c r="B245" s="11" t="s">
        <v>466</v>
      </c>
      <c r="C245" s="2"/>
      <c r="D245" s="2"/>
      <c r="E245" s="2"/>
      <c r="F245" s="2"/>
      <c r="G245" s="3"/>
      <c r="H245" s="2"/>
      <c r="I245" s="3"/>
      <c r="J245" s="22">
        <f>SUM(J243:J244)</f>
        <v>258</v>
      </c>
    </row>
    <row r="246" spans="1:10" s="8" customFormat="1" ht="12.75">
      <c r="A246" s="14" t="s">
        <v>293</v>
      </c>
      <c r="B246" s="14" t="s">
        <v>294</v>
      </c>
      <c r="C246" s="30"/>
      <c r="D246" s="30"/>
      <c r="E246" s="30"/>
      <c r="F246" s="30"/>
      <c r="G246" s="31"/>
      <c r="H246" s="30"/>
      <c r="I246" s="31"/>
      <c r="J246" s="32"/>
    </row>
    <row r="247" spans="1:10" s="8" customFormat="1" ht="12.75">
      <c r="A247" s="13" t="s">
        <v>295</v>
      </c>
      <c r="B247" s="13" t="s">
        <v>296</v>
      </c>
      <c r="C247" s="24"/>
      <c r="D247" s="24"/>
      <c r="E247" s="24"/>
      <c r="F247" s="24"/>
      <c r="G247" s="25"/>
      <c r="H247" s="24"/>
      <c r="I247" s="25"/>
      <c r="J247" s="12"/>
    </row>
    <row r="248" spans="1:10" ht="12.75">
      <c r="A248" s="2" t="s">
        <v>460</v>
      </c>
      <c r="B248" s="2" t="s">
        <v>297</v>
      </c>
      <c r="C248" s="2" t="s">
        <v>23</v>
      </c>
      <c r="D248" s="2" t="s">
        <v>13</v>
      </c>
      <c r="E248" s="2">
        <v>390.69</v>
      </c>
      <c r="F248" s="2">
        <v>0.37</v>
      </c>
      <c r="G248" s="3">
        <f>F248*E248</f>
        <v>144.5553</v>
      </c>
      <c r="H248" s="2">
        <v>3.7</v>
      </c>
      <c r="I248" s="3">
        <f>H248*E248</f>
        <v>1445.553</v>
      </c>
      <c r="J248" s="6">
        <f>G248+I248</f>
        <v>1590.1083</v>
      </c>
    </row>
    <row r="249" spans="1:10" ht="12.75">
      <c r="A249" s="2"/>
      <c r="B249" s="11" t="s">
        <v>466</v>
      </c>
      <c r="C249" s="2"/>
      <c r="D249" s="2"/>
      <c r="E249" s="2"/>
      <c r="F249" s="2"/>
      <c r="G249" s="3"/>
      <c r="H249" s="2"/>
      <c r="I249" s="3"/>
      <c r="J249" s="22">
        <f>SUM(J248)</f>
        <v>1590.1083</v>
      </c>
    </row>
    <row r="250" spans="1:10" ht="12.75">
      <c r="A250" s="2"/>
      <c r="B250" s="11"/>
      <c r="C250" s="2"/>
      <c r="D250" s="2"/>
      <c r="E250" s="2"/>
      <c r="F250" s="2"/>
      <c r="G250" s="3"/>
      <c r="H250" s="2"/>
      <c r="I250" s="3"/>
      <c r="J250" s="33"/>
    </row>
    <row r="251" spans="1:10" ht="13.5" thickBot="1">
      <c r="A251" s="34"/>
      <c r="B251" s="35" t="s">
        <v>304</v>
      </c>
      <c r="C251" s="34"/>
      <c r="D251" s="34"/>
      <c r="E251" s="34"/>
      <c r="F251" s="34"/>
      <c r="G251" s="36">
        <f>SUM(G10:G249)</f>
        <v>241192.07629999993</v>
      </c>
      <c r="H251" s="34"/>
      <c r="I251" s="36">
        <f>SUM(I10:I249)</f>
        <v>45885.055199999995</v>
      </c>
      <c r="J251" s="38">
        <f>G251+I251</f>
        <v>287077.1314999999</v>
      </c>
    </row>
    <row r="252" spans="1:10" ht="13.5" thickBot="1">
      <c r="A252" s="34"/>
      <c r="B252" s="35" t="s">
        <v>305</v>
      </c>
      <c r="C252" s="34"/>
      <c r="D252" s="34"/>
      <c r="E252" s="34"/>
      <c r="F252" s="34"/>
      <c r="G252" s="36">
        <f>G251*1.25</f>
        <v>301490.0953749999</v>
      </c>
      <c r="H252" s="34"/>
      <c r="I252" s="37">
        <f>I251*1.25</f>
        <v>57356.318999999996</v>
      </c>
      <c r="J252" s="45">
        <f>G252+I252</f>
        <v>358846.41437499993</v>
      </c>
    </row>
    <row r="253" spans="1:10" ht="12.75">
      <c r="A253" s="2"/>
      <c r="B253" s="2"/>
      <c r="C253" s="2"/>
      <c r="D253" s="2"/>
      <c r="E253" s="2"/>
      <c r="F253" s="2"/>
      <c r="G253" s="3"/>
      <c r="H253" s="2"/>
      <c r="I253" s="3"/>
      <c r="J253" s="39"/>
    </row>
    <row r="254" spans="1:10" s="8" customFormat="1" ht="12.75">
      <c r="A254" s="14" t="s">
        <v>298</v>
      </c>
      <c r="B254" s="14" t="s">
        <v>299</v>
      </c>
      <c r="C254" s="30"/>
      <c r="D254" s="30"/>
      <c r="E254" s="30"/>
      <c r="F254" s="30"/>
      <c r="G254" s="31"/>
      <c r="H254" s="30"/>
      <c r="I254" s="31"/>
      <c r="J254" s="32"/>
    </row>
    <row r="255" spans="1:10" s="8" customFormat="1" ht="12.75">
      <c r="A255" s="13" t="s">
        <v>300</v>
      </c>
      <c r="B255" s="13" t="s">
        <v>306</v>
      </c>
      <c r="C255" s="24"/>
      <c r="D255" s="24"/>
      <c r="E255" s="24"/>
      <c r="F255" s="24"/>
      <c r="G255" s="25"/>
      <c r="H255" s="24"/>
      <c r="I255" s="25"/>
      <c r="J255" s="12"/>
    </row>
    <row r="256" spans="1:10" ht="12.75">
      <c r="A256" s="2" t="s">
        <v>461</v>
      </c>
      <c r="B256" s="2" t="s">
        <v>301</v>
      </c>
      <c r="C256" s="2" t="s">
        <v>52</v>
      </c>
      <c r="D256" s="2" t="s">
        <v>302</v>
      </c>
      <c r="E256" s="2">
        <v>540</v>
      </c>
      <c r="F256" s="2">
        <v>7.61</v>
      </c>
      <c r="G256" s="3">
        <f>F256*E256</f>
        <v>4109.400000000001</v>
      </c>
      <c r="H256" s="2">
        <v>0</v>
      </c>
      <c r="I256" s="3">
        <f>H256*E256</f>
        <v>0</v>
      </c>
      <c r="J256" s="6">
        <f>G256+I256</f>
        <v>4109.400000000001</v>
      </c>
    </row>
    <row r="257" spans="1:10" ht="12.75">
      <c r="A257" s="2" t="s">
        <v>462</v>
      </c>
      <c r="B257" s="2" t="s">
        <v>303</v>
      </c>
      <c r="C257" s="2" t="s">
        <v>52</v>
      </c>
      <c r="D257" s="2" t="s">
        <v>302</v>
      </c>
      <c r="E257" s="2">
        <v>120</v>
      </c>
      <c r="F257" s="2">
        <v>58.52</v>
      </c>
      <c r="G257" s="3">
        <f>F257*E257</f>
        <v>7022.400000000001</v>
      </c>
      <c r="H257" s="2">
        <v>0</v>
      </c>
      <c r="I257" s="3">
        <f>H257*E257</f>
        <v>0</v>
      </c>
      <c r="J257" s="6">
        <f>G257+I257</f>
        <v>7022.400000000001</v>
      </c>
    </row>
    <row r="258" spans="1:10" ht="12.75">
      <c r="A258" s="2"/>
      <c r="B258" s="11" t="s">
        <v>466</v>
      </c>
      <c r="C258" s="2"/>
      <c r="D258" s="2"/>
      <c r="E258" s="2"/>
      <c r="F258" s="2"/>
      <c r="G258" s="3"/>
      <c r="H258" s="2"/>
      <c r="I258" s="3"/>
      <c r="J258" s="22">
        <f>SUM(J256:J257)</f>
        <v>11131.800000000001</v>
      </c>
    </row>
    <row r="259" spans="1:10" ht="13.5" thickBot="1">
      <c r="A259" s="2"/>
      <c r="B259" s="2"/>
      <c r="C259" s="2"/>
      <c r="D259" s="2"/>
      <c r="E259" s="2"/>
      <c r="F259" s="2"/>
      <c r="G259" s="3"/>
      <c r="H259" s="2"/>
      <c r="I259" s="3"/>
      <c r="J259" s="6"/>
    </row>
    <row r="260" spans="1:10" ht="13.5" thickBot="1">
      <c r="A260" s="41"/>
      <c r="B260" s="42" t="s">
        <v>471</v>
      </c>
      <c r="C260" s="43"/>
      <c r="D260" s="43"/>
      <c r="E260" s="43"/>
      <c r="F260" s="43"/>
      <c r="G260" s="44"/>
      <c r="H260" s="43"/>
      <c r="I260" s="46"/>
      <c r="J260" s="40">
        <f>J252+J258</f>
        <v>369978.2143749999</v>
      </c>
    </row>
    <row r="261" ht="12.75">
      <c r="A261" s="1"/>
    </row>
  </sheetData>
  <sheetProtection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65"/>
  <sheetViews>
    <sheetView showGridLines="0" tabSelected="1" view="pageBreakPreview" zoomScale="85" zoomScaleSheetLayoutView="85" zoomScalePageLayoutView="0" workbookViewId="0" topLeftCell="V25">
      <selection activeCell="AJ53" sqref="AJ53"/>
    </sheetView>
  </sheetViews>
  <sheetFormatPr defaultColWidth="9.140625" defaultRowHeight="12.75"/>
  <cols>
    <col min="1" max="1" width="8.57421875" style="128" customWidth="1"/>
    <col min="2" max="2" width="57.421875" style="125" customWidth="1"/>
    <col min="3" max="3" width="9.00390625" style="126" customWidth="1"/>
    <col min="4" max="4" width="5.57421875" style="126" customWidth="1"/>
    <col min="5" max="5" width="7.421875" style="47" customWidth="1"/>
    <col min="6" max="6" width="11.140625" style="47" customWidth="1"/>
    <col min="7" max="7" width="12.28125" style="48" customWidth="1"/>
    <col min="8" max="8" width="10.00390625" style="47" customWidth="1"/>
    <col min="9" max="9" width="10.421875" style="48" customWidth="1"/>
    <col min="10" max="10" width="11.28125" style="127" customWidth="1"/>
    <col min="11" max="11" width="10.57421875" style="5" hidden="1" customWidth="1"/>
    <col min="12" max="12" width="10.57421875" style="113" hidden="1" customWidth="1"/>
    <col min="13" max="13" width="16.28125" style="5" hidden="1" customWidth="1"/>
    <col min="14" max="14" width="14.7109375" style="5" hidden="1" customWidth="1"/>
    <col min="15" max="15" width="11.7109375" style="124" hidden="1" customWidth="1"/>
    <col min="16" max="16" width="15.28125" style="7" customWidth="1"/>
    <col min="17" max="17" width="14.28125" style="7" customWidth="1"/>
    <col min="18" max="18" width="14.140625" style="7" customWidth="1"/>
    <col min="19" max="19" width="9.28125" style="7" bestFit="1" customWidth="1"/>
    <col min="20" max="20" width="8.28125" style="7" bestFit="1" customWidth="1"/>
    <col min="21" max="21" width="9.8515625" style="7" bestFit="1" customWidth="1"/>
    <col min="22" max="22" width="7.28125" style="7" bestFit="1" customWidth="1"/>
    <col min="23" max="23" width="9.140625" style="7" bestFit="1" customWidth="1"/>
    <col min="24" max="24" width="9.8515625" style="7" bestFit="1" customWidth="1"/>
    <col min="25" max="25" width="6.7109375" style="7" bestFit="1" customWidth="1"/>
    <col min="26" max="26" width="8.8515625" style="7" bestFit="1" customWidth="1"/>
    <col min="27" max="27" width="10.7109375" style="7" bestFit="1" customWidth="1"/>
    <col min="28" max="28" width="10.00390625" style="7" bestFit="1" customWidth="1"/>
    <col min="29" max="29" width="18.421875" style="259" customWidth="1"/>
    <col min="30" max="16384" width="9.140625" style="7" customWidth="1"/>
  </cols>
  <sheetData>
    <row r="1" spans="1:15" ht="18" customHeight="1">
      <c r="A1" s="47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4"/>
      <c r="O1" s="188"/>
    </row>
    <row r="2" spans="1:17" ht="18" customHeight="1">
      <c r="A2" s="47"/>
      <c r="C2" s="295" t="s">
        <v>572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  <c r="O2" s="188"/>
      <c r="Q2" s="226"/>
    </row>
    <row r="3" spans="1:15" ht="12.75">
      <c r="A3" s="47"/>
      <c r="C3" s="199"/>
      <c r="D3" s="200"/>
      <c r="E3" s="200"/>
      <c r="F3" s="201"/>
      <c r="G3" s="202"/>
      <c r="H3" s="202"/>
      <c r="I3" s="202"/>
      <c r="J3" s="202"/>
      <c r="K3" s="202"/>
      <c r="L3" s="202"/>
      <c r="M3" s="203" t="s">
        <v>571</v>
      </c>
      <c r="N3" s="204">
        <v>40280</v>
      </c>
      <c r="O3" s="188"/>
    </row>
    <row r="4" spans="1:15" ht="12.75">
      <c r="A4" s="47"/>
      <c r="C4" s="297"/>
      <c r="D4" s="297"/>
      <c r="E4" s="297"/>
      <c r="F4" s="297"/>
      <c r="G4" s="297"/>
      <c r="H4" s="297"/>
      <c r="I4" s="298"/>
      <c r="J4" s="298"/>
      <c r="K4" s="298"/>
      <c r="L4" s="298"/>
      <c r="M4" s="298"/>
      <c r="N4" s="298"/>
      <c r="O4" s="188"/>
    </row>
    <row r="5" spans="1:15" ht="12.75">
      <c r="A5" s="47"/>
      <c r="J5" s="48"/>
      <c r="K5" s="193"/>
      <c r="L5" s="193"/>
      <c r="O5" s="188"/>
    </row>
    <row r="6" spans="1:15" ht="17.25" customHeight="1">
      <c r="A6" s="205" t="s">
        <v>565</v>
      </c>
      <c r="B6" s="205" t="s">
        <v>566</v>
      </c>
      <c r="J6" s="48"/>
      <c r="K6" s="193"/>
      <c r="L6" s="193"/>
      <c r="O6" s="188"/>
    </row>
    <row r="7" spans="1:15" ht="15.75" customHeight="1">
      <c r="A7" s="205" t="s">
        <v>567</v>
      </c>
      <c r="B7" s="206" t="s">
        <v>568</v>
      </c>
      <c r="J7" s="48"/>
      <c r="K7" s="193"/>
      <c r="L7" s="193"/>
      <c r="O7" s="188"/>
    </row>
    <row r="8" spans="1:15" ht="18" customHeight="1">
      <c r="A8" s="205" t="s">
        <v>588</v>
      </c>
      <c r="B8" s="206" t="s">
        <v>569</v>
      </c>
      <c r="J8" s="48"/>
      <c r="K8" s="193"/>
      <c r="L8" s="193"/>
      <c r="O8" s="188"/>
    </row>
    <row r="9" spans="1:15" ht="15.75" customHeight="1">
      <c r="A9" s="205" t="s">
        <v>552</v>
      </c>
      <c r="B9" s="206"/>
      <c r="J9" s="48"/>
      <c r="K9" s="193"/>
      <c r="L9" s="193"/>
      <c r="O9" s="188"/>
    </row>
    <row r="10" spans="1:15" ht="8.25" customHeight="1">
      <c r="A10" s="47"/>
      <c r="J10" s="48"/>
      <c r="K10" s="198"/>
      <c r="L10" s="198"/>
      <c r="M10" s="191"/>
      <c r="N10" s="191"/>
      <c r="O10" s="192"/>
    </row>
    <row r="11" spans="1:18" ht="24.75" customHeight="1" thickBot="1">
      <c r="A11" s="292" t="s">
        <v>570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</row>
    <row r="12" spans="1:83" s="8" customFormat="1" ht="37.5" thickBot="1" thickTop="1">
      <c r="A12" s="4" t="s">
        <v>0</v>
      </c>
      <c r="B12" s="266" t="s">
        <v>1</v>
      </c>
      <c r="C12" s="267" t="s">
        <v>2</v>
      </c>
      <c r="D12" s="267" t="s">
        <v>558</v>
      </c>
      <c r="E12" s="267" t="s">
        <v>557</v>
      </c>
      <c r="F12" s="267" t="s">
        <v>553</v>
      </c>
      <c r="G12" s="268" t="s">
        <v>554</v>
      </c>
      <c r="H12" s="267" t="s">
        <v>555</v>
      </c>
      <c r="I12" s="268" t="s">
        <v>556</v>
      </c>
      <c r="J12" s="268" t="s">
        <v>465</v>
      </c>
      <c r="K12" s="24"/>
      <c r="L12" s="24"/>
      <c r="M12" s="24"/>
      <c r="N12" s="12"/>
      <c r="O12" s="269"/>
      <c r="P12" s="4" t="s">
        <v>559</v>
      </c>
      <c r="Q12" s="4" t="s">
        <v>560</v>
      </c>
      <c r="R12" s="270" t="s">
        <v>564</v>
      </c>
      <c r="S12" s="299" t="s">
        <v>579</v>
      </c>
      <c r="T12" s="300"/>
      <c r="U12" s="300"/>
      <c r="V12" s="299" t="s">
        <v>580</v>
      </c>
      <c r="W12" s="300"/>
      <c r="X12" s="301"/>
      <c r="Y12" s="299" t="s">
        <v>585</v>
      </c>
      <c r="Z12" s="300"/>
      <c r="AA12" s="301"/>
      <c r="AB12"/>
      <c r="AC12" s="282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</row>
    <row r="13" spans="1:83" ht="52.5" customHeight="1" thickBot="1" thickTop="1">
      <c r="A13" s="131" t="s">
        <v>7</v>
      </c>
      <c r="B13" s="131" t="s">
        <v>8</v>
      </c>
      <c r="C13" s="132"/>
      <c r="D13" s="132"/>
      <c r="E13" s="133"/>
      <c r="F13" s="133"/>
      <c r="G13" s="134"/>
      <c r="H13" s="133"/>
      <c r="I13" s="134"/>
      <c r="J13" s="250"/>
      <c r="K13" s="134"/>
      <c r="L13" s="134"/>
      <c r="M13" s="134"/>
      <c r="N13" s="134"/>
      <c r="O13" s="134"/>
      <c r="P13" s="134"/>
      <c r="Q13" s="134"/>
      <c r="R13" s="134"/>
      <c r="S13" s="228" t="s">
        <v>581</v>
      </c>
      <c r="T13" s="229" t="s">
        <v>582</v>
      </c>
      <c r="U13" s="229" t="s">
        <v>583</v>
      </c>
      <c r="V13" s="228" t="s">
        <v>581</v>
      </c>
      <c r="W13" s="229" t="s">
        <v>582</v>
      </c>
      <c r="X13" s="229" t="s">
        <v>583</v>
      </c>
      <c r="Y13" s="228" t="s">
        <v>581</v>
      </c>
      <c r="Z13" s="229" t="s">
        <v>582</v>
      </c>
      <c r="AA13" s="229" t="s">
        <v>583</v>
      </c>
      <c r="AB13" s="281" t="s">
        <v>584</v>
      </c>
      <c r="AC13" s="283" t="s">
        <v>587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</row>
    <row r="14" spans="1:83" ht="13.5" thickTop="1">
      <c r="A14" s="144"/>
      <c r="B14" s="145"/>
      <c r="C14" s="137"/>
      <c r="D14" s="137"/>
      <c r="E14" s="138"/>
      <c r="F14" s="146"/>
      <c r="G14" s="140"/>
      <c r="H14" s="139"/>
      <c r="I14" s="141"/>
      <c r="J14" s="171"/>
      <c r="M14" s="122"/>
      <c r="N14" s="12"/>
      <c r="O14" s="189"/>
      <c r="P14" s="5"/>
      <c r="Q14" s="5"/>
      <c r="R14" s="5"/>
      <c r="S14" s="234"/>
      <c r="T14" s="235"/>
      <c r="U14" s="258"/>
      <c r="V14" s="234"/>
      <c r="W14" s="235"/>
      <c r="X14" s="258"/>
      <c r="Y14" s="234"/>
      <c r="Z14" s="235"/>
      <c r="AA14" s="258"/>
      <c r="AB14" s="271"/>
      <c r="AC14" s="284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</row>
    <row r="15" spans="1:83" ht="12.75">
      <c r="A15" s="131" t="s">
        <v>18</v>
      </c>
      <c r="B15" s="131" t="s">
        <v>19</v>
      </c>
      <c r="C15" s="132"/>
      <c r="D15" s="132"/>
      <c r="E15" s="148"/>
      <c r="F15" s="149"/>
      <c r="G15" s="150"/>
      <c r="H15" s="149"/>
      <c r="I15" s="151"/>
      <c r="J15" s="250">
        <f>(U20+X20)/J20</f>
        <v>0.6834600760456274</v>
      </c>
      <c r="K15" s="134"/>
      <c r="L15" s="134"/>
      <c r="M15" s="134"/>
      <c r="N15" s="134"/>
      <c r="O15" s="134"/>
      <c r="P15" s="134"/>
      <c r="Q15" s="134"/>
      <c r="R15" s="134"/>
      <c r="S15" s="237"/>
      <c r="T15" s="238"/>
      <c r="U15" s="239"/>
      <c r="V15" s="237"/>
      <c r="W15" s="238"/>
      <c r="X15" s="239"/>
      <c r="Y15" s="237"/>
      <c r="Z15" s="238"/>
      <c r="AA15" s="239"/>
      <c r="AB15" s="272"/>
      <c r="AC15" s="285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ht="12.75">
      <c r="A16" s="144" t="s">
        <v>20</v>
      </c>
      <c r="B16" s="144" t="s">
        <v>21</v>
      </c>
      <c r="C16" s="152"/>
      <c r="D16" s="152"/>
      <c r="E16" s="153"/>
      <c r="F16" s="143"/>
      <c r="G16" s="140"/>
      <c r="H16" s="139">
        <v>0</v>
      </c>
      <c r="I16" s="141"/>
      <c r="J16" s="142"/>
      <c r="M16" s="58"/>
      <c r="N16" s="6">
        <f aca="true" t="shared" si="0" ref="N16:N41">J16</f>
        <v>0</v>
      </c>
      <c r="O16" s="188">
        <f aca="true" t="shared" si="1" ref="O16:O41">M16-N16</f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73"/>
      <c r="AC16" s="286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</row>
    <row r="17" spans="1:83" ht="12.75">
      <c r="A17" s="136" t="s">
        <v>312</v>
      </c>
      <c r="B17" s="136" t="s">
        <v>24</v>
      </c>
      <c r="C17" s="137" t="s">
        <v>23</v>
      </c>
      <c r="D17" s="137" t="s">
        <v>13</v>
      </c>
      <c r="E17" s="138">
        <v>75</v>
      </c>
      <c r="F17" s="139">
        <v>2.55</v>
      </c>
      <c r="G17" s="140">
        <f>F17*E17</f>
        <v>191.25</v>
      </c>
      <c r="H17" s="139">
        <v>4.64</v>
      </c>
      <c r="I17" s="141">
        <f aca="true" t="shared" si="2" ref="I17:I42">H17*E17</f>
        <v>348</v>
      </c>
      <c r="J17" s="142">
        <f>G17+I17</f>
        <v>539.25</v>
      </c>
      <c r="K17" s="5">
        <v>2.2</v>
      </c>
      <c r="L17" s="113">
        <v>4</v>
      </c>
      <c r="M17" s="58">
        <v>543</v>
      </c>
      <c r="N17" s="6">
        <f t="shared" si="0"/>
        <v>539.25</v>
      </c>
      <c r="O17" s="188">
        <f t="shared" si="1"/>
        <v>3.75</v>
      </c>
      <c r="P17" s="5"/>
      <c r="Q17" s="5"/>
      <c r="R17" s="5"/>
      <c r="S17" s="230">
        <f>E17*T17</f>
        <v>56.25</v>
      </c>
      <c r="T17" s="241">
        <v>0.75</v>
      </c>
      <c r="U17" s="232">
        <f>T17*J17</f>
        <v>404.4375</v>
      </c>
      <c r="V17" s="230">
        <f>W17*E17</f>
        <v>0</v>
      </c>
      <c r="W17" s="231">
        <v>0</v>
      </c>
      <c r="X17" s="232">
        <f>W17*J17</f>
        <v>0</v>
      </c>
      <c r="Y17" s="230">
        <f>Z17*E17</f>
        <v>0</v>
      </c>
      <c r="Z17" s="253">
        <v>0</v>
      </c>
      <c r="AA17" s="232">
        <f>Z17*J17</f>
        <v>0</v>
      </c>
      <c r="AB17" s="274">
        <f>T17+W17+Z17</f>
        <v>0.75</v>
      </c>
      <c r="AC17" s="286">
        <v>0.25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</row>
    <row r="18" spans="1:83" s="8" customFormat="1" ht="12.75">
      <c r="A18" s="144" t="s">
        <v>26</v>
      </c>
      <c r="B18" s="144" t="s">
        <v>27</v>
      </c>
      <c r="C18" s="154"/>
      <c r="D18" s="154"/>
      <c r="E18" s="155"/>
      <c r="F18" s="156"/>
      <c r="G18" s="157"/>
      <c r="H18" s="143"/>
      <c r="I18" s="158"/>
      <c r="J18" s="159"/>
      <c r="K18" s="24"/>
      <c r="L18" s="114"/>
      <c r="M18" s="122"/>
      <c r="N18" s="6">
        <f t="shared" si="0"/>
        <v>0</v>
      </c>
      <c r="O18" s="188">
        <f t="shared" si="1"/>
        <v>0</v>
      </c>
      <c r="P18" s="24"/>
      <c r="Q18" s="24"/>
      <c r="R18" s="24"/>
      <c r="S18" s="242"/>
      <c r="T18" s="242"/>
      <c r="U18" s="242"/>
      <c r="V18" s="230"/>
      <c r="W18" s="231"/>
      <c r="X18" s="232"/>
      <c r="Y18" s="230"/>
      <c r="Z18" s="231"/>
      <c r="AA18" s="232"/>
      <c r="AB18" s="275"/>
      <c r="AC18" s="286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</row>
    <row r="19" spans="1:83" ht="12.75">
      <c r="A19" s="136" t="s">
        <v>314</v>
      </c>
      <c r="B19" s="136" t="s">
        <v>28</v>
      </c>
      <c r="C19" s="137" t="s">
        <v>23</v>
      </c>
      <c r="D19" s="137" t="s">
        <v>13</v>
      </c>
      <c r="E19" s="138">
        <v>25</v>
      </c>
      <c r="F19" s="139">
        <v>0</v>
      </c>
      <c r="G19" s="140">
        <f>F19*E19</f>
        <v>0</v>
      </c>
      <c r="H19" s="139">
        <v>2.1</v>
      </c>
      <c r="I19" s="141">
        <f t="shared" si="2"/>
        <v>52.5</v>
      </c>
      <c r="J19" s="142">
        <f>G19+I19</f>
        <v>52.5</v>
      </c>
      <c r="L19" s="113">
        <v>1.81</v>
      </c>
      <c r="M19" s="58">
        <v>52.75</v>
      </c>
      <c r="N19" s="6">
        <f t="shared" si="0"/>
        <v>52.5</v>
      </c>
      <c r="O19" s="188">
        <f t="shared" si="1"/>
        <v>0.25</v>
      </c>
      <c r="P19" s="5"/>
      <c r="Q19" s="5"/>
      <c r="R19" s="5"/>
      <c r="S19" s="230">
        <f>E19*T19</f>
        <v>0</v>
      </c>
      <c r="T19" s="241">
        <v>0</v>
      </c>
      <c r="U19" s="232">
        <f>T19*J19</f>
        <v>0</v>
      </c>
      <c r="V19" s="230">
        <f>W19*E19</f>
        <v>0</v>
      </c>
      <c r="W19" s="231">
        <v>0</v>
      </c>
      <c r="X19" s="232">
        <f>W19*J19</f>
        <v>0</v>
      </c>
      <c r="Y19" s="230">
        <f>Z19*E19</f>
        <v>0</v>
      </c>
      <c r="Z19" s="253">
        <v>0</v>
      </c>
      <c r="AA19" s="232">
        <f>Z19*J19</f>
        <v>0</v>
      </c>
      <c r="AB19" s="274">
        <f>T19+W19+Z19</f>
        <v>0</v>
      </c>
      <c r="AC19" s="286">
        <v>1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</row>
    <row r="20" spans="1:83" ht="12.75">
      <c r="A20" s="136"/>
      <c r="B20" s="145" t="s">
        <v>466</v>
      </c>
      <c r="C20" s="137"/>
      <c r="D20" s="137"/>
      <c r="E20" s="138"/>
      <c r="F20" s="146"/>
      <c r="G20" s="140"/>
      <c r="H20" s="139">
        <v>0</v>
      </c>
      <c r="I20" s="141"/>
      <c r="J20" s="147">
        <f>SUM(J17:J19)</f>
        <v>591.75</v>
      </c>
      <c r="M20" s="122">
        <v>2445.08</v>
      </c>
      <c r="N20" s="12">
        <f t="shared" si="0"/>
        <v>591.75</v>
      </c>
      <c r="O20" s="189">
        <f t="shared" si="1"/>
        <v>1853.33</v>
      </c>
      <c r="P20" s="5"/>
      <c r="Q20" s="5"/>
      <c r="R20" s="5"/>
      <c r="S20" s="5"/>
      <c r="T20" s="5"/>
      <c r="U20" s="236">
        <f>SUM(U17:U19)</f>
        <v>404.4375</v>
      </c>
      <c r="V20" s="5"/>
      <c r="W20" s="5"/>
      <c r="X20" s="236">
        <f>SUM(X17:X19)</f>
        <v>0</v>
      </c>
      <c r="Y20" s="5"/>
      <c r="Z20" s="5"/>
      <c r="AA20" s="236">
        <f>SUM(AA17:AA19)</f>
        <v>0</v>
      </c>
      <c r="AB20" s="273"/>
      <c r="AC20" s="286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</row>
    <row r="21" spans="1:83" s="8" customFormat="1" ht="12.75">
      <c r="A21" s="131" t="s">
        <v>29</v>
      </c>
      <c r="B21" s="131" t="s">
        <v>30</v>
      </c>
      <c r="C21" s="160"/>
      <c r="D21" s="160"/>
      <c r="E21" s="161"/>
      <c r="F21" s="162"/>
      <c r="G21" s="163"/>
      <c r="H21" s="149"/>
      <c r="I21" s="164"/>
      <c r="J21" s="250">
        <f>(U29+X29)/J29</f>
        <v>0.6949253605858204</v>
      </c>
      <c r="K21" s="165"/>
      <c r="L21" s="165"/>
      <c r="M21" s="165"/>
      <c r="N21" s="165"/>
      <c r="O21" s="165"/>
      <c r="P21" s="165"/>
      <c r="Q21" s="165"/>
      <c r="R21" s="165"/>
      <c r="S21" s="30"/>
      <c r="T21" s="30"/>
      <c r="U21" s="30"/>
      <c r="V21" s="30"/>
      <c r="W21" s="30"/>
      <c r="X21" s="30"/>
      <c r="Y21" s="30"/>
      <c r="Z21" s="30"/>
      <c r="AA21" s="30"/>
      <c r="AB21" s="276"/>
      <c r="AC21" s="287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</row>
    <row r="22" spans="1:83" s="8" customFormat="1" ht="12.75">
      <c r="A22" s="144" t="s">
        <v>31</v>
      </c>
      <c r="B22" s="144" t="s">
        <v>32</v>
      </c>
      <c r="C22" s="154"/>
      <c r="D22" s="154"/>
      <c r="E22" s="155"/>
      <c r="F22" s="156"/>
      <c r="G22" s="157"/>
      <c r="H22" s="139">
        <v>0</v>
      </c>
      <c r="I22" s="158"/>
      <c r="J22" s="159"/>
      <c r="K22" s="24"/>
      <c r="L22" s="114"/>
      <c r="M22" s="122"/>
      <c r="N22" s="6">
        <f t="shared" si="0"/>
        <v>0</v>
      </c>
      <c r="O22" s="188">
        <f t="shared" si="1"/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77"/>
      <c r="AC22" s="286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</row>
    <row r="23" spans="1:83" ht="12.75">
      <c r="A23" s="136" t="s">
        <v>319</v>
      </c>
      <c r="B23" s="136" t="s">
        <v>39</v>
      </c>
      <c r="C23" s="137" t="s">
        <v>23</v>
      </c>
      <c r="D23" s="137" t="s">
        <v>13</v>
      </c>
      <c r="E23" s="138">
        <v>527.94</v>
      </c>
      <c r="F23" s="139">
        <v>0</v>
      </c>
      <c r="G23" s="140">
        <f>F23*E23</f>
        <v>0</v>
      </c>
      <c r="H23" s="139">
        <v>2.1</v>
      </c>
      <c r="I23" s="141">
        <f t="shared" si="2"/>
        <v>1108.6740000000002</v>
      </c>
      <c r="J23" s="142">
        <f>G23+I23</f>
        <v>1108.6740000000002</v>
      </c>
      <c r="L23" s="113">
        <v>1.81</v>
      </c>
      <c r="M23" s="58">
        <v>1113.9534</v>
      </c>
      <c r="N23" s="6">
        <f t="shared" si="0"/>
        <v>1108.6740000000002</v>
      </c>
      <c r="O23" s="188">
        <f t="shared" si="1"/>
        <v>5.279399999999896</v>
      </c>
      <c r="P23" s="5"/>
      <c r="Q23" s="5"/>
      <c r="R23" s="5"/>
      <c r="S23" s="230">
        <f aca="true" t="shared" si="3" ref="S23:S28">E23*T23</f>
        <v>105.58800000000002</v>
      </c>
      <c r="T23" s="241">
        <v>0.2</v>
      </c>
      <c r="U23" s="232">
        <f aca="true" t="shared" si="4" ref="U23:U28">T23*J23</f>
        <v>221.73480000000006</v>
      </c>
      <c r="V23" s="230">
        <f aca="true" t="shared" si="5" ref="V23:V28">W23*E23</f>
        <v>0</v>
      </c>
      <c r="W23" s="231">
        <v>0</v>
      </c>
      <c r="X23" s="232">
        <f aca="true" t="shared" si="6" ref="X23:X28">W23*J23</f>
        <v>0</v>
      </c>
      <c r="Y23" s="230">
        <f>Z23*E23</f>
        <v>0</v>
      </c>
      <c r="Z23" s="253">
        <v>0</v>
      </c>
      <c r="AA23" s="232">
        <f>Z23*J23</f>
        <v>0</v>
      </c>
      <c r="AB23" s="274">
        <f>T23+W23+Z23</f>
        <v>0.2</v>
      </c>
      <c r="AC23" s="286">
        <v>0.8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</row>
    <row r="24" spans="1:83" ht="12.75">
      <c r="A24" s="136" t="s">
        <v>320</v>
      </c>
      <c r="B24" s="136" t="s">
        <v>40</v>
      </c>
      <c r="C24" s="137" t="s">
        <v>23</v>
      </c>
      <c r="D24" s="137" t="s">
        <v>13</v>
      </c>
      <c r="E24" s="138">
        <v>8.55</v>
      </c>
      <c r="F24" s="139">
        <v>0</v>
      </c>
      <c r="G24" s="140">
        <f>F24*E24</f>
        <v>0</v>
      </c>
      <c r="H24" s="139">
        <v>3.13</v>
      </c>
      <c r="I24" s="141">
        <f t="shared" si="2"/>
        <v>26.7615</v>
      </c>
      <c r="J24" s="142">
        <f>G24+I24</f>
        <v>26.7615</v>
      </c>
      <c r="L24" s="113">
        <v>2.7</v>
      </c>
      <c r="M24" s="58">
        <v>27.958500000000004</v>
      </c>
      <c r="N24" s="6">
        <f t="shared" si="0"/>
        <v>26.7615</v>
      </c>
      <c r="O24" s="188">
        <f t="shared" si="1"/>
        <v>1.1970000000000027</v>
      </c>
      <c r="P24" s="5"/>
      <c r="Q24" s="5"/>
      <c r="R24" s="5"/>
      <c r="S24" s="230">
        <f t="shared" si="3"/>
        <v>0</v>
      </c>
      <c r="T24" s="241">
        <v>0</v>
      </c>
      <c r="U24" s="232">
        <f t="shared" si="4"/>
        <v>0</v>
      </c>
      <c r="V24" s="230">
        <f t="shared" si="5"/>
        <v>0</v>
      </c>
      <c r="W24" s="231">
        <v>0</v>
      </c>
      <c r="X24" s="232">
        <f t="shared" si="6"/>
        <v>0</v>
      </c>
      <c r="Y24" s="230">
        <f>Z24*E24</f>
        <v>0</v>
      </c>
      <c r="Z24" s="253">
        <v>0</v>
      </c>
      <c r="AA24" s="232">
        <f>Z24*J24</f>
        <v>0</v>
      </c>
      <c r="AB24" s="274">
        <f>T24+W24+Z24</f>
        <v>0</v>
      </c>
      <c r="AC24" s="286">
        <v>1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</row>
    <row r="25" spans="1:83" ht="12.75">
      <c r="A25" s="136" t="s">
        <v>334</v>
      </c>
      <c r="B25" s="136" t="s">
        <v>55</v>
      </c>
      <c r="C25" s="137" t="s">
        <v>52</v>
      </c>
      <c r="D25" s="137" t="s">
        <v>13</v>
      </c>
      <c r="E25" s="138">
        <v>307.12</v>
      </c>
      <c r="F25" s="139">
        <v>7.49</v>
      </c>
      <c r="G25" s="140">
        <f>F25*E25</f>
        <v>2300.3288000000002</v>
      </c>
      <c r="H25" s="139">
        <v>0</v>
      </c>
      <c r="I25" s="141">
        <f t="shared" si="2"/>
        <v>0</v>
      </c>
      <c r="J25" s="142">
        <f>G25+I25</f>
        <v>2300.3288000000002</v>
      </c>
      <c r="K25" s="5">
        <v>6.46</v>
      </c>
      <c r="M25" s="58">
        <v>2306.4712</v>
      </c>
      <c r="N25" s="6">
        <f t="shared" si="0"/>
        <v>2300.3288000000002</v>
      </c>
      <c r="O25" s="188">
        <f t="shared" si="1"/>
        <v>6.142399999999725</v>
      </c>
      <c r="P25" s="5"/>
      <c r="Q25" s="5"/>
      <c r="R25" s="5"/>
      <c r="S25" s="230">
        <f t="shared" si="3"/>
        <v>168.91600000000003</v>
      </c>
      <c r="T25" s="241">
        <v>0.55</v>
      </c>
      <c r="U25" s="232">
        <f t="shared" si="4"/>
        <v>1265.1808400000002</v>
      </c>
      <c r="V25" s="230">
        <f t="shared" si="5"/>
        <v>122.84800000000001</v>
      </c>
      <c r="W25" s="231">
        <v>0.4</v>
      </c>
      <c r="X25" s="232">
        <f t="shared" si="6"/>
        <v>920.1315200000001</v>
      </c>
      <c r="Y25" s="230">
        <f>Z25*E25</f>
        <v>0</v>
      </c>
      <c r="Z25" s="253">
        <v>0</v>
      </c>
      <c r="AA25" s="232">
        <f>Z25*J25</f>
        <v>0</v>
      </c>
      <c r="AB25" s="274">
        <f>T25+W25+Z25</f>
        <v>0.9500000000000001</v>
      </c>
      <c r="AC25" s="286">
        <v>0.05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</row>
    <row r="26" spans="1:83" ht="12.75">
      <c r="A26" s="136" t="s">
        <v>337</v>
      </c>
      <c r="B26" s="136" t="s">
        <v>58</v>
      </c>
      <c r="C26" s="137" t="s">
        <v>52</v>
      </c>
      <c r="D26" s="137" t="s">
        <v>13</v>
      </c>
      <c r="E26" s="138">
        <v>17.1</v>
      </c>
      <c r="F26" s="139">
        <v>3.48</v>
      </c>
      <c r="G26" s="140">
        <f>F26*E26</f>
        <v>59.508</v>
      </c>
      <c r="H26" s="139">
        <v>0</v>
      </c>
      <c r="I26" s="141">
        <f t="shared" si="2"/>
        <v>0</v>
      </c>
      <c r="J26" s="142">
        <f>G26+I26</f>
        <v>59.508</v>
      </c>
      <c r="K26" s="5">
        <v>3</v>
      </c>
      <c r="M26" s="58">
        <v>59.67900000000001</v>
      </c>
      <c r="N26" s="6">
        <f t="shared" si="0"/>
        <v>59.508</v>
      </c>
      <c r="O26" s="188">
        <f t="shared" si="1"/>
        <v>0.17100000000000648</v>
      </c>
      <c r="P26" s="5"/>
      <c r="Q26" s="5"/>
      <c r="R26" s="5"/>
      <c r="S26" s="230">
        <f t="shared" si="3"/>
        <v>0</v>
      </c>
      <c r="T26" s="241">
        <v>0</v>
      </c>
      <c r="U26" s="232">
        <f t="shared" si="4"/>
        <v>0</v>
      </c>
      <c r="V26" s="230">
        <f t="shared" si="5"/>
        <v>0</v>
      </c>
      <c r="W26" s="241">
        <v>0</v>
      </c>
      <c r="X26" s="232">
        <f t="shared" si="6"/>
        <v>0</v>
      </c>
      <c r="Y26" s="230">
        <f>Z26*E26</f>
        <v>0</v>
      </c>
      <c r="Z26" s="253">
        <v>0</v>
      </c>
      <c r="AA26" s="232">
        <f>Z26*J26</f>
        <v>0</v>
      </c>
      <c r="AB26" s="274">
        <f>T26+W26+Z26</f>
        <v>0</v>
      </c>
      <c r="AC26" s="286">
        <v>1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</row>
    <row r="27" spans="1:83" s="8" customFormat="1" ht="12.75">
      <c r="A27" s="144" t="s">
        <v>62</v>
      </c>
      <c r="B27" s="144" t="s">
        <v>63</v>
      </c>
      <c r="C27" s="154"/>
      <c r="D27" s="154"/>
      <c r="E27" s="155"/>
      <c r="F27" s="156"/>
      <c r="G27" s="157"/>
      <c r="H27" s="139">
        <v>0</v>
      </c>
      <c r="I27" s="158"/>
      <c r="J27" s="159"/>
      <c r="K27" s="24"/>
      <c r="L27" s="114"/>
      <c r="M27" s="122"/>
      <c r="N27" s="6">
        <f t="shared" si="0"/>
        <v>0</v>
      </c>
      <c r="O27" s="188">
        <f t="shared" si="1"/>
        <v>0</v>
      </c>
      <c r="P27" s="24"/>
      <c r="Q27" s="24"/>
      <c r="R27" s="24"/>
      <c r="S27" s="242"/>
      <c r="T27" s="242"/>
      <c r="U27" s="242"/>
      <c r="V27" s="230"/>
      <c r="W27" s="242"/>
      <c r="X27" s="232"/>
      <c r="Y27" s="230"/>
      <c r="Z27" s="242"/>
      <c r="AA27" s="232"/>
      <c r="AB27" s="275"/>
      <c r="AC27" s="286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</row>
    <row r="28" spans="1:83" ht="12.75">
      <c r="A28" s="136" t="s">
        <v>341</v>
      </c>
      <c r="B28" s="136" t="s">
        <v>64</v>
      </c>
      <c r="C28" s="137" t="s">
        <v>23</v>
      </c>
      <c r="D28" s="137" t="s">
        <v>34</v>
      </c>
      <c r="E28" s="138">
        <v>160</v>
      </c>
      <c r="F28" s="139">
        <v>17.7</v>
      </c>
      <c r="G28" s="140">
        <f>F28*E28</f>
        <v>2832</v>
      </c>
      <c r="H28" s="139">
        <v>9.28</v>
      </c>
      <c r="I28" s="141">
        <f t="shared" si="2"/>
        <v>1484.8</v>
      </c>
      <c r="J28" s="142">
        <f>G28+I28</f>
        <v>4316.8</v>
      </c>
      <c r="K28" s="5">
        <v>15.26</v>
      </c>
      <c r="L28" s="113">
        <v>8</v>
      </c>
      <c r="M28" s="58">
        <v>4318.4</v>
      </c>
      <c r="N28" s="6">
        <f t="shared" si="0"/>
        <v>4316.8</v>
      </c>
      <c r="O28" s="188">
        <f t="shared" si="1"/>
        <v>1.5999999999994543</v>
      </c>
      <c r="P28" s="5"/>
      <c r="Q28" s="5"/>
      <c r="R28" s="5"/>
      <c r="S28" s="230">
        <f t="shared" si="3"/>
        <v>64</v>
      </c>
      <c r="T28" s="241">
        <v>0.4</v>
      </c>
      <c r="U28" s="232">
        <f t="shared" si="4"/>
        <v>1726.7200000000003</v>
      </c>
      <c r="V28" s="230">
        <f t="shared" si="5"/>
        <v>48</v>
      </c>
      <c r="W28" s="231">
        <v>0.3</v>
      </c>
      <c r="X28" s="232">
        <f t="shared" si="6"/>
        <v>1295.04</v>
      </c>
      <c r="Y28" s="230">
        <f>Z28*E28</f>
        <v>32</v>
      </c>
      <c r="Z28" s="253">
        <v>0.2</v>
      </c>
      <c r="AA28" s="232">
        <f>Z28*J28</f>
        <v>863.3600000000001</v>
      </c>
      <c r="AB28" s="274">
        <f>T28+W28+Z28</f>
        <v>0.8999999999999999</v>
      </c>
      <c r="AC28" s="286">
        <v>0.1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</row>
    <row r="29" spans="1:83" ht="12.75">
      <c r="A29" s="136"/>
      <c r="B29" s="145" t="s">
        <v>466</v>
      </c>
      <c r="C29" s="137"/>
      <c r="D29" s="137"/>
      <c r="E29" s="138"/>
      <c r="F29" s="146"/>
      <c r="G29" s="140"/>
      <c r="H29" s="139">
        <v>0</v>
      </c>
      <c r="I29" s="141"/>
      <c r="J29" s="147">
        <f>SUM(J23:J28)</f>
        <v>7812.072300000001</v>
      </c>
      <c r="M29" s="122">
        <v>15511.530599999998</v>
      </c>
      <c r="N29" s="12">
        <f t="shared" si="0"/>
        <v>7812.072300000001</v>
      </c>
      <c r="O29" s="189">
        <f t="shared" si="1"/>
        <v>7699.4582999999975</v>
      </c>
      <c r="P29" s="5"/>
      <c r="Q29" s="5"/>
      <c r="R29" s="5"/>
      <c r="S29" s="5"/>
      <c r="T29" s="5"/>
      <c r="U29" s="236">
        <f>SUM(U23:U28)</f>
        <v>3213.6356400000004</v>
      </c>
      <c r="V29" s="5"/>
      <c r="W29" s="5"/>
      <c r="X29" s="236">
        <f>SUM(X23:X28)</f>
        <v>2215.17152</v>
      </c>
      <c r="Y29" s="5"/>
      <c r="Z29" s="5"/>
      <c r="AA29" s="236">
        <f>SUM(AA23:AA28)</f>
        <v>863.3600000000001</v>
      </c>
      <c r="AB29" s="273"/>
      <c r="AC29" s="286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</row>
    <row r="30" spans="1:83" s="8" customFormat="1" ht="12.75">
      <c r="A30" s="131" t="s">
        <v>65</v>
      </c>
      <c r="B30" s="131" t="s">
        <v>66</v>
      </c>
      <c r="C30" s="160"/>
      <c r="D30" s="160"/>
      <c r="E30" s="161"/>
      <c r="F30" s="162"/>
      <c r="G30" s="163"/>
      <c r="H30" s="149"/>
      <c r="I30" s="164"/>
      <c r="J30" s="250">
        <f>(U33+X33)/J33</f>
        <v>0</v>
      </c>
      <c r="K30" s="165"/>
      <c r="L30" s="165"/>
      <c r="M30" s="165"/>
      <c r="N30" s="165"/>
      <c r="O30" s="165"/>
      <c r="P30" s="165"/>
      <c r="Q30" s="165"/>
      <c r="R30" s="165"/>
      <c r="S30" s="30"/>
      <c r="T30" s="30"/>
      <c r="U30" s="30"/>
      <c r="V30" s="30"/>
      <c r="W30" s="30"/>
      <c r="X30" s="30"/>
      <c r="Y30" s="30"/>
      <c r="Z30" s="30"/>
      <c r="AA30" s="30"/>
      <c r="AB30" s="276"/>
      <c r="AC30" s="287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</row>
    <row r="31" spans="1:83" s="8" customFormat="1" ht="12.75">
      <c r="A31" s="144" t="s">
        <v>67</v>
      </c>
      <c r="B31" s="144" t="s">
        <v>68</v>
      </c>
      <c r="C31" s="154"/>
      <c r="D31" s="154"/>
      <c r="E31" s="155"/>
      <c r="F31" s="156"/>
      <c r="G31" s="157"/>
      <c r="H31" s="139">
        <v>0</v>
      </c>
      <c r="I31" s="158"/>
      <c r="J31" s="159"/>
      <c r="K31" s="24"/>
      <c r="L31" s="114"/>
      <c r="M31" s="122"/>
      <c r="N31" s="6">
        <f t="shared" si="0"/>
        <v>0</v>
      </c>
      <c r="O31" s="188">
        <f t="shared" si="1"/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77"/>
      <c r="AC31" s="286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</row>
    <row r="32" spans="1:83" ht="25.5">
      <c r="A32" s="136" t="s">
        <v>342</v>
      </c>
      <c r="B32" s="136" t="s">
        <v>69</v>
      </c>
      <c r="C32" s="137" t="s">
        <v>23</v>
      </c>
      <c r="D32" s="137" t="s">
        <v>17</v>
      </c>
      <c r="E32" s="138">
        <v>160</v>
      </c>
      <c r="F32" s="139">
        <v>1.67</v>
      </c>
      <c r="G32" s="140">
        <f>F32*E32</f>
        <v>267.2</v>
      </c>
      <c r="H32" s="139">
        <v>1.16</v>
      </c>
      <c r="I32" s="141">
        <f t="shared" si="2"/>
        <v>185.6</v>
      </c>
      <c r="J32" s="142">
        <f>G32+I32</f>
        <v>452.79999999999995</v>
      </c>
      <c r="K32" s="5">
        <v>1.44</v>
      </c>
      <c r="L32" s="113">
        <v>1</v>
      </c>
      <c r="M32" s="58">
        <v>454.4</v>
      </c>
      <c r="N32" s="6">
        <f t="shared" si="0"/>
        <v>452.79999999999995</v>
      </c>
      <c r="O32" s="188">
        <f t="shared" si="1"/>
        <v>1.6000000000000227</v>
      </c>
      <c r="P32" s="5"/>
      <c r="Q32" s="5"/>
      <c r="R32" s="5"/>
      <c r="S32" s="230">
        <f>E32*T32</f>
        <v>0</v>
      </c>
      <c r="T32" s="241">
        <v>0</v>
      </c>
      <c r="U32" s="232">
        <f>T32*J32</f>
        <v>0</v>
      </c>
      <c r="V32" s="230">
        <f>W32*E32</f>
        <v>0</v>
      </c>
      <c r="W32" s="231">
        <v>0</v>
      </c>
      <c r="X32" s="232">
        <f>W32*J32</f>
        <v>0</v>
      </c>
      <c r="Y32" s="230">
        <f>Z32*E32</f>
        <v>0</v>
      </c>
      <c r="Z32" s="241">
        <v>0</v>
      </c>
      <c r="AA32" s="232">
        <f>Z32*J32</f>
        <v>0</v>
      </c>
      <c r="AB32" s="274">
        <f>T32+W32+Z32</f>
        <v>0</v>
      </c>
      <c r="AC32" s="286" t="s">
        <v>586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</row>
    <row r="33" spans="1:83" ht="12.75">
      <c r="A33" s="136"/>
      <c r="B33" s="145" t="s">
        <v>466</v>
      </c>
      <c r="C33" s="137"/>
      <c r="D33" s="137"/>
      <c r="E33" s="138"/>
      <c r="F33" s="146"/>
      <c r="G33" s="140"/>
      <c r="H33" s="139">
        <v>0</v>
      </c>
      <c r="I33" s="141"/>
      <c r="J33" s="147">
        <f>SUM(J32:J32)</f>
        <v>452.79999999999995</v>
      </c>
      <c r="M33" s="122">
        <v>5201.1829</v>
      </c>
      <c r="N33" s="12">
        <f t="shared" si="0"/>
        <v>452.79999999999995</v>
      </c>
      <c r="O33" s="189">
        <f t="shared" si="1"/>
        <v>4748.3829</v>
      </c>
      <c r="P33" s="5"/>
      <c r="Q33" s="5"/>
      <c r="R33" s="5"/>
      <c r="S33" s="5"/>
      <c r="T33" s="5"/>
      <c r="U33" s="236">
        <f>SUM(U32:U32)</f>
        <v>0</v>
      </c>
      <c r="V33" s="5"/>
      <c r="W33" s="5"/>
      <c r="X33" s="236">
        <f>SUM(X32:X32)</f>
        <v>0</v>
      </c>
      <c r="Y33" s="5"/>
      <c r="Z33" s="5"/>
      <c r="AA33" s="236">
        <f>SUM(AA32:AA32)</f>
        <v>0</v>
      </c>
      <c r="AB33" s="273"/>
      <c r="AC33" s="286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 s="8" customFormat="1" ht="12.75">
      <c r="A34" s="131" t="s">
        <v>76</v>
      </c>
      <c r="B34" s="131" t="s">
        <v>77</v>
      </c>
      <c r="C34" s="160"/>
      <c r="D34" s="160"/>
      <c r="E34" s="161"/>
      <c r="F34" s="162"/>
      <c r="G34" s="163"/>
      <c r="H34" s="149"/>
      <c r="I34" s="164"/>
      <c r="J34" s="250">
        <f>(U55+X55)/J55</f>
        <v>0.15189033110912298</v>
      </c>
      <c r="K34" s="165"/>
      <c r="L34" s="165"/>
      <c r="M34" s="165"/>
      <c r="N34" s="165"/>
      <c r="O34" s="165"/>
      <c r="P34" s="165"/>
      <c r="Q34" s="165"/>
      <c r="R34" s="165"/>
      <c r="S34" s="30"/>
      <c r="T34" s="30"/>
      <c r="U34" s="30"/>
      <c r="V34" s="30"/>
      <c r="W34" s="30"/>
      <c r="X34" s="30"/>
      <c r="Y34" s="30"/>
      <c r="Z34" s="30"/>
      <c r="AA34" s="30"/>
      <c r="AB34" s="276"/>
      <c r="AC34" s="287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</row>
    <row r="35" spans="1:83" s="8" customFormat="1" ht="12.75">
      <c r="A35" s="144" t="s">
        <v>78</v>
      </c>
      <c r="B35" s="144" t="s">
        <v>79</v>
      </c>
      <c r="C35" s="154"/>
      <c r="D35" s="154"/>
      <c r="E35" s="155"/>
      <c r="F35" s="156"/>
      <c r="G35" s="157"/>
      <c r="H35" s="143"/>
      <c r="I35" s="158"/>
      <c r="J35" s="159"/>
      <c r="K35" s="24"/>
      <c r="L35" s="114"/>
      <c r="M35" s="122"/>
      <c r="N35" s="6">
        <f t="shared" si="0"/>
        <v>0</v>
      </c>
      <c r="O35" s="188">
        <f t="shared" si="1"/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77"/>
      <c r="AC35" s="286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</row>
    <row r="36" spans="1:83" ht="12.75">
      <c r="A36" s="136" t="s">
        <v>352</v>
      </c>
      <c r="B36" s="136" t="s">
        <v>83</v>
      </c>
      <c r="C36" s="137" t="s">
        <v>23</v>
      </c>
      <c r="D36" s="137" t="s">
        <v>17</v>
      </c>
      <c r="E36" s="138">
        <v>7</v>
      </c>
      <c r="F36" s="139">
        <v>2.32</v>
      </c>
      <c r="G36" s="140">
        <f aca="true" t="shared" si="7" ref="G36:G45">F36*E36</f>
        <v>16.24</v>
      </c>
      <c r="H36" s="139">
        <v>0.81</v>
      </c>
      <c r="I36" s="141">
        <f t="shared" si="2"/>
        <v>5.67</v>
      </c>
      <c r="J36" s="142">
        <f aca="true" t="shared" si="8" ref="J36:J45">G36+I36</f>
        <v>21.909999999999997</v>
      </c>
      <c r="K36" s="44">
        <v>2</v>
      </c>
      <c r="L36" s="46">
        <f aca="true" t="shared" si="9" ref="L36:L50">0.35*K36</f>
        <v>0.7</v>
      </c>
      <c r="M36" s="58">
        <v>25.34</v>
      </c>
      <c r="N36" s="6">
        <f t="shared" si="0"/>
        <v>21.909999999999997</v>
      </c>
      <c r="O36" s="188">
        <f t="shared" si="1"/>
        <v>3.4300000000000033</v>
      </c>
      <c r="P36" s="5"/>
      <c r="Q36" s="5"/>
      <c r="R36" s="5"/>
      <c r="S36" s="230">
        <f aca="true" t="shared" si="10" ref="S36:S54">E36*T36</f>
        <v>0</v>
      </c>
      <c r="T36" s="241">
        <v>0</v>
      </c>
      <c r="U36" s="232">
        <f aca="true" t="shared" si="11" ref="U36:U54">T36*J36</f>
        <v>0</v>
      </c>
      <c r="V36" s="230">
        <f aca="true" t="shared" si="12" ref="V36:V54">W36*E36</f>
        <v>5.9997</v>
      </c>
      <c r="W36" s="247">
        <v>0.8571</v>
      </c>
      <c r="X36" s="232">
        <f aca="true" t="shared" si="13" ref="X36:X54">W36*J36</f>
        <v>18.779060999999995</v>
      </c>
      <c r="Y36" s="230">
        <f aca="true" t="shared" si="14" ref="Y36:Y45">Z36*E36</f>
        <v>0</v>
      </c>
      <c r="Z36" s="241">
        <v>0</v>
      </c>
      <c r="AA36" s="232">
        <f aca="true" t="shared" si="15" ref="AA36:AA45">Z36*J36</f>
        <v>0</v>
      </c>
      <c r="AB36" s="274">
        <f aca="true" t="shared" si="16" ref="AB36:AB45">T36+W36+Z36</f>
        <v>0.8571</v>
      </c>
      <c r="AC36" s="286">
        <v>0.1429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</row>
    <row r="37" spans="1:83" ht="12.75">
      <c r="A37" s="136" t="s">
        <v>353</v>
      </c>
      <c r="B37" s="136" t="s">
        <v>84</v>
      </c>
      <c r="C37" s="137" t="s">
        <v>23</v>
      </c>
      <c r="D37" s="137" t="s">
        <v>17</v>
      </c>
      <c r="E37" s="138">
        <v>4</v>
      </c>
      <c r="F37" s="139">
        <v>3.71</v>
      </c>
      <c r="G37" s="140">
        <f t="shared" si="7"/>
        <v>14.84</v>
      </c>
      <c r="H37" s="139">
        <v>1.3</v>
      </c>
      <c r="I37" s="141">
        <f t="shared" si="2"/>
        <v>5.2</v>
      </c>
      <c r="J37" s="142">
        <f t="shared" si="8"/>
        <v>20.04</v>
      </c>
      <c r="K37" s="44">
        <v>3.2</v>
      </c>
      <c r="L37" s="46">
        <f t="shared" si="9"/>
        <v>1.1199999999999999</v>
      </c>
      <c r="M37" s="58">
        <v>20.28</v>
      </c>
      <c r="N37" s="6">
        <f t="shared" si="0"/>
        <v>20.04</v>
      </c>
      <c r="O37" s="188">
        <f t="shared" si="1"/>
        <v>0.240000000000002</v>
      </c>
      <c r="P37" s="5"/>
      <c r="Q37" s="5"/>
      <c r="R37" s="5"/>
      <c r="S37" s="230">
        <f t="shared" si="10"/>
        <v>0</v>
      </c>
      <c r="T37" s="241">
        <v>0</v>
      </c>
      <c r="U37" s="232">
        <f t="shared" si="11"/>
        <v>0</v>
      </c>
      <c r="V37" s="230">
        <f t="shared" si="12"/>
        <v>0</v>
      </c>
      <c r="W37" s="241">
        <v>0</v>
      </c>
      <c r="X37" s="232">
        <f t="shared" si="13"/>
        <v>0</v>
      </c>
      <c r="Y37" s="230">
        <f t="shared" si="14"/>
        <v>0</v>
      </c>
      <c r="Z37" s="241">
        <v>0</v>
      </c>
      <c r="AA37" s="232">
        <f t="shared" si="15"/>
        <v>0</v>
      </c>
      <c r="AB37" s="274">
        <f t="shared" si="16"/>
        <v>0</v>
      </c>
      <c r="AC37" s="286">
        <v>1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</row>
    <row r="38" spans="1:83" ht="12.75">
      <c r="A38" s="136" t="s">
        <v>354</v>
      </c>
      <c r="B38" s="136" t="s">
        <v>85</v>
      </c>
      <c r="C38" s="137" t="s">
        <v>23</v>
      </c>
      <c r="D38" s="137" t="s">
        <v>17</v>
      </c>
      <c r="E38" s="138">
        <v>13</v>
      </c>
      <c r="F38" s="139">
        <v>3.83</v>
      </c>
      <c r="G38" s="140">
        <f t="shared" si="7"/>
        <v>49.79</v>
      </c>
      <c r="H38" s="139">
        <v>1.34</v>
      </c>
      <c r="I38" s="141">
        <f t="shared" si="2"/>
        <v>17.42</v>
      </c>
      <c r="J38" s="142">
        <f t="shared" si="8"/>
        <v>67.21000000000001</v>
      </c>
      <c r="K38" s="44">
        <v>3.3</v>
      </c>
      <c r="L38" s="46">
        <f t="shared" si="9"/>
        <v>1.1549999999999998</v>
      </c>
      <c r="M38" s="58">
        <v>71.89</v>
      </c>
      <c r="N38" s="6">
        <f t="shared" si="0"/>
        <v>67.21000000000001</v>
      </c>
      <c r="O38" s="188">
        <f t="shared" si="1"/>
        <v>4.679999999999993</v>
      </c>
      <c r="P38" s="5"/>
      <c r="Q38" s="5"/>
      <c r="R38" s="5"/>
      <c r="S38" s="230">
        <f t="shared" si="10"/>
        <v>0</v>
      </c>
      <c r="T38" s="241">
        <v>0</v>
      </c>
      <c r="U38" s="232">
        <f t="shared" si="11"/>
        <v>0</v>
      </c>
      <c r="V38" s="230">
        <f t="shared" si="12"/>
        <v>0</v>
      </c>
      <c r="W38" s="241">
        <v>0</v>
      </c>
      <c r="X38" s="232">
        <f t="shared" si="13"/>
        <v>0</v>
      </c>
      <c r="Y38" s="230">
        <f t="shared" si="14"/>
        <v>0</v>
      </c>
      <c r="Z38" s="241">
        <v>0</v>
      </c>
      <c r="AA38" s="232">
        <f t="shared" si="15"/>
        <v>0</v>
      </c>
      <c r="AB38" s="274">
        <f t="shared" si="16"/>
        <v>0</v>
      </c>
      <c r="AC38" s="286">
        <v>1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</row>
    <row r="39" spans="1:83" ht="12.75">
      <c r="A39" s="136" t="s">
        <v>355</v>
      </c>
      <c r="B39" s="136" t="s">
        <v>86</v>
      </c>
      <c r="C39" s="137" t="s">
        <v>23</v>
      </c>
      <c r="D39" s="137" t="s">
        <v>37</v>
      </c>
      <c r="E39" s="138">
        <v>53.78</v>
      </c>
      <c r="F39" s="139">
        <v>2.53</v>
      </c>
      <c r="G39" s="140">
        <f t="shared" si="7"/>
        <v>136.0634</v>
      </c>
      <c r="H39" s="139">
        <v>0.89</v>
      </c>
      <c r="I39" s="141">
        <f t="shared" si="2"/>
        <v>47.864200000000004</v>
      </c>
      <c r="J39" s="142">
        <f t="shared" si="8"/>
        <v>183.9276</v>
      </c>
      <c r="K39" s="44">
        <v>2.18</v>
      </c>
      <c r="L39" s="46">
        <f t="shared" si="9"/>
        <v>0.763</v>
      </c>
      <c r="M39" s="58">
        <v>184.46540000000002</v>
      </c>
      <c r="N39" s="6">
        <f t="shared" si="0"/>
        <v>183.9276</v>
      </c>
      <c r="O39" s="188">
        <f t="shared" si="1"/>
        <v>0.5378000000000043</v>
      </c>
      <c r="P39" s="5"/>
      <c r="Q39" s="5"/>
      <c r="R39" s="5"/>
      <c r="S39" s="230">
        <f t="shared" si="10"/>
        <v>0</v>
      </c>
      <c r="T39" s="241">
        <v>0</v>
      </c>
      <c r="U39" s="232">
        <f t="shared" si="11"/>
        <v>0</v>
      </c>
      <c r="V39" s="230">
        <f t="shared" si="12"/>
        <v>43.024</v>
      </c>
      <c r="W39" s="231">
        <v>0.8</v>
      </c>
      <c r="X39" s="232">
        <f t="shared" si="13"/>
        <v>147.14208000000002</v>
      </c>
      <c r="Y39" s="230">
        <f t="shared" si="14"/>
        <v>0</v>
      </c>
      <c r="Z39" s="241">
        <v>0</v>
      </c>
      <c r="AA39" s="232">
        <f t="shared" si="15"/>
        <v>0</v>
      </c>
      <c r="AB39" s="274">
        <f t="shared" si="16"/>
        <v>0.8</v>
      </c>
      <c r="AC39" s="286">
        <v>0.2</v>
      </c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</row>
    <row r="40" spans="1:83" ht="12.75">
      <c r="A40" s="136" t="s">
        <v>356</v>
      </c>
      <c r="B40" s="136" t="s">
        <v>87</v>
      </c>
      <c r="C40" s="137" t="s">
        <v>23</v>
      </c>
      <c r="D40" s="137" t="s">
        <v>37</v>
      </c>
      <c r="E40" s="138">
        <v>10.37</v>
      </c>
      <c r="F40" s="139">
        <v>4.41</v>
      </c>
      <c r="G40" s="140">
        <f t="shared" si="7"/>
        <v>45.7317</v>
      </c>
      <c r="H40" s="139">
        <v>1.54</v>
      </c>
      <c r="I40" s="141">
        <f t="shared" si="2"/>
        <v>15.9698</v>
      </c>
      <c r="J40" s="142">
        <f t="shared" si="8"/>
        <v>61.701499999999996</v>
      </c>
      <c r="K40" s="44">
        <f>0.85*'ORÇAMENTO CRICIUMA FINAL (2)'!F74</f>
        <v>3.7994999999999997</v>
      </c>
      <c r="L40" s="46">
        <f t="shared" si="9"/>
        <v>1.3298249999999998</v>
      </c>
      <c r="M40" s="58">
        <v>64.50139999999999</v>
      </c>
      <c r="N40" s="6">
        <f t="shared" si="0"/>
        <v>61.701499999999996</v>
      </c>
      <c r="O40" s="188">
        <f t="shared" si="1"/>
        <v>2.799899999999994</v>
      </c>
      <c r="P40" s="5"/>
      <c r="Q40" s="5"/>
      <c r="R40" s="5"/>
      <c r="S40" s="230">
        <f t="shared" si="10"/>
        <v>0</v>
      </c>
      <c r="T40" s="241">
        <v>0</v>
      </c>
      <c r="U40" s="232">
        <f t="shared" si="11"/>
        <v>0</v>
      </c>
      <c r="V40" s="230">
        <f t="shared" si="12"/>
        <v>0</v>
      </c>
      <c r="W40" s="241">
        <v>0</v>
      </c>
      <c r="X40" s="232">
        <f t="shared" si="13"/>
        <v>0</v>
      </c>
      <c r="Y40" s="230">
        <f t="shared" si="14"/>
        <v>0</v>
      </c>
      <c r="Z40" s="241">
        <v>0</v>
      </c>
      <c r="AA40" s="232">
        <f t="shared" si="15"/>
        <v>0</v>
      </c>
      <c r="AB40" s="274">
        <f t="shared" si="16"/>
        <v>0</v>
      </c>
      <c r="AC40" s="286">
        <v>1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</row>
    <row r="41" spans="1:83" ht="25.5">
      <c r="A41" s="136" t="s">
        <v>357</v>
      </c>
      <c r="B41" s="136" t="s">
        <v>88</v>
      </c>
      <c r="C41" s="137" t="s">
        <v>23</v>
      </c>
      <c r="D41" s="137" t="s">
        <v>17</v>
      </c>
      <c r="E41" s="138">
        <v>5</v>
      </c>
      <c r="F41" s="139">
        <v>0.94</v>
      </c>
      <c r="G41" s="140">
        <f t="shared" si="7"/>
        <v>4.699999999999999</v>
      </c>
      <c r="H41" s="139">
        <v>0.33</v>
      </c>
      <c r="I41" s="141">
        <f t="shared" si="2"/>
        <v>1.6500000000000001</v>
      </c>
      <c r="J41" s="142">
        <f t="shared" si="8"/>
        <v>6.35</v>
      </c>
      <c r="K41" s="44">
        <f>0.85*'ORÇAMENTO CRICIUMA FINAL (2)'!F75</f>
        <v>0.8075</v>
      </c>
      <c r="L41" s="46">
        <f t="shared" si="9"/>
        <v>0.28262499999999996</v>
      </c>
      <c r="M41" s="58">
        <v>10.8</v>
      </c>
      <c r="N41" s="6">
        <f t="shared" si="0"/>
        <v>6.35</v>
      </c>
      <c r="O41" s="188">
        <f t="shared" si="1"/>
        <v>4.450000000000001</v>
      </c>
      <c r="P41" s="5"/>
      <c r="Q41" s="5"/>
      <c r="R41" s="5"/>
      <c r="S41" s="230">
        <f t="shared" si="10"/>
        <v>0</v>
      </c>
      <c r="T41" s="241">
        <v>0</v>
      </c>
      <c r="U41" s="232">
        <f t="shared" si="11"/>
        <v>0</v>
      </c>
      <c r="V41" s="230">
        <f t="shared" si="12"/>
        <v>0</v>
      </c>
      <c r="W41" s="231">
        <v>0</v>
      </c>
      <c r="X41" s="232">
        <f t="shared" si="13"/>
        <v>0</v>
      </c>
      <c r="Y41" s="230">
        <f t="shared" si="14"/>
        <v>0</v>
      </c>
      <c r="Z41" s="241">
        <v>0</v>
      </c>
      <c r="AA41" s="232">
        <f t="shared" si="15"/>
        <v>0</v>
      </c>
      <c r="AB41" s="274">
        <f t="shared" si="16"/>
        <v>0</v>
      </c>
      <c r="AC41" s="286">
        <v>1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</row>
    <row r="42" spans="1:83" ht="12.75">
      <c r="A42" s="136" t="s">
        <v>359</v>
      </c>
      <c r="B42" s="136" t="s">
        <v>90</v>
      </c>
      <c r="C42" s="137" t="s">
        <v>23</v>
      </c>
      <c r="D42" s="137" t="s">
        <v>17</v>
      </c>
      <c r="E42" s="138">
        <v>8</v>
      </c>
      <c r="F42" s="139">
        <v>2.67</v>
      </c>
      <c r="G42" s="140">
        <f t="shared" si="7"/>
        <v>21.36</v>
      </c>
      <c r="H42" s="139">
        <v>0.93</v>
      </c>
      <c r="I42" s="141">
        <f t="shared" si="2"/>
        <v>7.44</v>
      </c>
      <c r="J42" s="142">
        <f t="shared" si="8"/>
        <v>28.8</v>
      </c>
      <c r="K42" s="44">
        <v>2.3</v>
      </c>
      <c r="L42" s="46">
        <f t="shared" si="9"/>
        <v>0.8049999999999999</v>
      </c>
      <c r="M42" s="58">
        <v>29.04</v>
      </c>
      <c r="N42" s="6">
        <f aca="true" t="shared" si="17" ref="N42:N81">J42</f>
        <v>28.8</v>
      </c>
      <c r="O42" s="188">
        <f aca="true" t="shared" si="18" ref="O42:O81">M42-N42</f>
        <v>0.23999999999999844</v>
      </c>
      <c r="P42" s="5"/>
      <c r="Q42" s="5"/>
      <c r="R42" s="5"/>
      <c r="S42" s="230">
        <f t="shared" si="10"/>
        <v>0</v>
      </c>
      <c r="T42" s="241">
        <v>0</v>
      </c>
      <c r="U42" s="232">
        <f t="shared" si="11"/>
        <v>0</v>
      </c>
      <c r="V42" s="230">
        <f t="shared" si="12"/>
        <v>0</v>
      </c>
      <c r="W42" s="231">
        <v>0</v>
      </c>
      <c r="X42" s="232">
        <f t="shared" si="13"/>
        <v>0</v>
      </c>
      <c r="Y42" s="230">
        <f t="shared" si="14"/>
        <v>0</v>
      </c>
      <c r="Z42" s="241">
        <v>0</v>
      </c>
      <c r="AA42" s="232">
        <f t="shared" si="15"/>
        <v>0</v>
      </c>
      <c r="AB42" s="274">
        <f t="shared" si="16"/>
        <v>0</v>
      </c>
      <c r="AC42" s="286">
        <v>1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</row>
    <row r="43" spans="1:83" ht="12.75">
      <c r="A43" s="136" t="s">
        <v>361</v>
      </c>
      <c r="B43" s="136" t="s">
        <v>92</v>
      </c>
      <c r="C43" s="137" t="s">
        <v>23</v>
      </c>
      <c r="D43" s="137" t="s">
        <v>17</v>
      </c>
      <c r="E43" s="138">
        <v>3</v>
      </c>
      <c r="F43" s="139">
        <v>3.55</v>
      </c>
      <c r="G43" s="140">
        <f t="shared" si="7"/>
        <v>10.649999999999999</v>
      </c>
      <c r="H43" s="139">
        <v>1.24</v>
      </c>
      <c r="I43" s="141">
        <f aca="true" t="shared" si="19" ref="I43:I90">H43*E43</f>
        <v>3.7199999999999998</v>
      </c>
      <c r="J43" s="142">
        <f t="shared" si="8"/>
        <v>14.369999999999997</v>
      </c>
      <c r="K43" s="44">
        <f>0.85*'ORÇAMENTO CRICIUMA FINAL (2)'!F79</f>
        <v>3.06</v>
      </c>
      <c r="L43" s="46">
        <f t="shared" si="9"/>
        <v>1.071</v>
      </c>
      <c r="M43" s="58">
        <v>18.06</v>
      </c>
      <c r="N43" s="6">
        <f t="shared" si="17"/>
        <v>14.369999999999997</v>
      </c>
      <c r="O43" s="188">
        <f t="shared" si="18"/>
        <v>3.6900000000000013</v>
      </c>
      <c r="P43" s="5"/>
      <c r="Q43" s="5"/>
      <c r="R43" s="5"/>
      <c r="S43" s="230">
        <f t="shared" si="10"/>
        <v>0</v>
      </c>
      <c r="T43" s="241">
        <v>0</v>
      </c>
      <c r="U43" s="232">
        <f t="shared" si="11"/>
        <v>0</v>
      </c>
      <c r="V43" s="230">
        <f t="shared" si="12"/>
        <v>0</v>
      </c>
      <c r="W43" s="241">
        <v>0</v>
      </c>
      <c r="X43" s="232">
        <f t="shared" si="13"/>
        <v>0</v>
      </c>
      <c r="Y43" s="230">
        <f t="shared" si="14"/>
        <v>0</v>
      </c>
      <c r="Z43" s="241">
        <v>0</v>
      </c>
      <c r="AA43" s="232">
        <f t="shared" si="15"/>
        <v>0</v>
      </c>
      <c r="AB43" s="274">
        <f t="shared" si="16"/>
        <v>0</v>
      </c>
      <c r="AC43" s="286">
        <v>1</v>
      </c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</row>
    <row r="44" spans="1:83" ht="12.75">
      <c r="A44" s="136" t="s">
        <v>362</v>
      </c>
      <c r="B44" s="136" t="s">
        <v>93</v>
      </c>
      <c r="C44" s="137" t="s">
        <v>23</v>
      </c>
      <c r="D44" s="137" t="s">
        <v>17</v>
      </c>
      <c r="E44" s="138">
        <v>8</v>
      </c>
      <c r="F44" s="139">
        <v>35.38</v>
      </c>
      <c r="G44" s="140">
        <f t="shared" si="7"/>
        <v>283.04</v>
      </c>
      <c r="H44" s="139">
        <v>10.79</v>
      </c>
      <c r="I44" s="141">
        <f t="shared" si="19"/>
        <v>86.32</v>
      </c>
      <c r="J44" s="142">
        <f t="shared" si="8"/>
        <v>369.36</v>
      </c>
      <c r="K44" s="44">
        <v>30.5</v>
      </c>
      <c r="L44" s="46">
        <v>9.3</v>
      </c>
      <c r="M44" s="58">
        <v>372.56</v>
      </c>
      <c r="N44" s="6">
        <f t="shared" si="17"/>
        <v>369.36</v>
      </c>
      <c r="O44" s="188">
        <f t="shared" si="18"/>
        <v>3.1999999999999886</v>
      </c>
      <c r="P44" s="5"/>
      <c r="Q44" s="5"/>
      <c r="R44" s="5"/>
      <c r="S44" s="230">
        <f t="shared" si="10"/>
        <v>0</v>
      </c>
      <c r="T44" s="241">
        <v>0</v>
      </c>
      <c r="U44" s="232">
        <f t="shared" si="11"/>
        <v>0</v>
      </c>
      <c r="V44" s="230">
        <f t="shared" si="12"/>
        <v>4</v>
      </c>
      <c r="W44" s="241">
        <v>0.5</v>
      </c>
      <c r="X44" s="232">
        <f t="shared" si="13"/>
        <v>184.68</v>
      </c>
      <c r="Y44" s="230">
        <f t="shared" si="14"/>
        <v>0</v>
      </c>
      <c r="Z44" s="241">
        <v>0</v>
      </c>
      <c r="AA44" s="232">
        <f t="shared" si="15"/>
        <v>0</v>
      </c>
      <c r="AB44" s="274">
        <f t="shared" si="16"/>
        <v>0.5</v>
      </c>
      <c r="AC44" s="286">
        <v>0.5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</row>
    <row r="45" spans="1:83" ht="12.75">
      <c r="A45" s="136" t="s">
        <v>363</v>
      </c>
      <c r="B45" s="136" t="s">
        <v>94</v>
      </c>
      <c r="C45" s="137" t="s">
        <v>23</v>
      </c>
      <c r="D45" s="137" t="s">
        <v>17</v>
      </c>
      <c r="E45" s="138">
        <v>2</v>
      </c>
      <c r="F45" s="139">
        <v>45.24</v>
      </c>
      <c r="G45" s="140">
        <f t="shared" si="7"/>
        <v>90.48</v>
      </c>
      <c r="H45" s="139">
        <v>12.76</v>
      </c>
      <c r="I45" s="141">
        <f t="shared" si="19"/>
        <v>25.52</v>
      </c>
      <c r="J45" s="142">
        <f t="shared" si="8"/>
        <v>116</v>
      </c>
      <c r="K45" s="44">
        <v>39</v>
      </c>
      <c r="L45" s="46">
        <v>11</v>
      </c>
      <c r="M45" s="58">
        <v>118.46</v>
      </c>
      <c r="N45" s="6">
        <f t="shared" si="17"/>
        <v>116</v>
      </c>
      <c r="O45" s="188">
        <f t="shared" si="18"/>
        <v>2.4599999999999937</v>
      </c>
      <c r="P45" s="5"/>
      <c r="Q45" s="5"/>
      <c r="R45" s="5"/>
      <c r="S45" s="230">
        <f t="shared" si="10"/>
        <v>0</v>
      </c>
      <c r="T45" s="241">
        <v>0</v>
      </c>
      <c r="U45" s="232">
        <f t="shared" si="11"/>
        <v>0</v>
      </c>
      <c r="V45" s="230">
        <f t="shared" si="12"/>
        <v>0.5</v>
      </c>
      <c r="W45" s="241">
        <v>0.25</v>
      </c>
      <c r="X45" s="232">
        <f t="shared" si="13"/>
        <v>29</v>
      </c>
      <c r="Y45" s="230">
        <f t="shared" si="14"/>
        <v>0</v>
      </c>
      <c r="Z45" s="241">
        <v>0</v>
      </c>
      <c r="AA45" s="232">
        <f t="shared" si="15"/>
        <v>0</v>
      </c>
      <c r="AB45" s="274">
        <f t="shared" si="16"/>
        <v>0.25</v>
      </c>
      <c r="AC45" s="286">
        <v>0.75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</row>
    <row r="46" spans="1:83" s="8" customFormat="1" ht="12.75">
      <c r="A46" s="144" t="s">
        <v>95</v>
      </c>
      <c r="B46" s="144" t="s">
        <v>96</v>
      </c>
      <c r="C46" s="154"/>
      <c r="D46" s="154"/>
      <c r="E46" s="155"/>
      <c r="F46" s="156"/>
      <c r="G46" s="157"/>
      <c r="H46" s="143"/>
      <c r="I46" s="158"/>
      <c r="J46" s="159"/>
      <c r="K46" s="44">
        <f>0.85*'ORÇAMENTO CRICIUMA FINAL (2)'!F82</f>
        <v>0</v>
      </c>
      <c r="L46" s="46">
        <f t="shared" si="9"/>
        <v>0</v>
      </c>
      <c r="M46" s="122"/>
      <c r="N46" s="6">
        <f t="shared" si="17"/>
        <v>0</v>
      </c>
      <c r="O46" s="188">
        <f t="shared" si="18"/>
        <v>0</v>
      </c>
      <c r="P46" s="24"/>
      <c r="Q46" s="24"/>
      <c r="R46" s="24"/>
      <c r="S46" s="242"/>
      <c r="T46" s="242"/>
      <c r="U46" s="242"/>
      <c r="V46" s="230"/>
      <c r="W46" s="242"/>
      <c r="X46" s="232"/>
      <c r="Y46" s="230"/>
      <c r="Z46" s="242"/>
      <c r="AA46" s="232"/>
      <c r="AB46" s="275"/>
      <c r="AC46" s="286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</row>
    <row r="47" spans="1:83" ht="25.5">
      <c r="A47" s="136" t="s">
        <v>381</v>
      </c>
      <c r="B47" s="136" t="s">
        <v>114</v>
      </c>
      <c r="C47" s="137" t="s">
        <v>23</v>
      </c>
      <c r="D47" s="137" t="s">
        <v>17</v>
      </c>
      <c r="E47" s="138">
        <v>6</v>
      </c>
      <c r="F47" s="139">
        <v>11.26</v>
      </c>
      <c r="G47" s="140">
        <f>F47*E47</f>
        <v>67.56</v>
      </c>
      <c r="H47" s="139">
        <v>3.94</v>
      </c>
      <c r="I47" s="141">
        <f t="shared" si="19"/>
        <v>23.64</v>
      </c>
      <c r="J47" s="142">
        <f>G47+I47</f>
        <v>91.2</v>
      </c>
      <c r="K47" s="44">
        <f>0.85*'ORÇAMENTO CRICIUMA FINAL (2)'!F100</f>
        <v>9.706999999999999</v>
      </c>
      <c r="L47" s="46">
        <f t="shared" si="9"/>
        <v>3.3974499999999996</v>
      </c>
      <c r="M47" s="58">
        <v>100.8</v>
      </c>
      <c r="N47" s="6">
        <f t="shared" si="17"/>
        <v>91.2</v>
      </c>
      <c r="O47" s="188">
        <f t="shared" si="18"/>
        <v>9.599999999999994</v>
      </c>
      <c r="P47" s="5"/>
      <c r="Q47" s="5"/>
      <c r="R47" s="5"/>
      <c r="S47" s="230">
        <f t="shared" si="10"/>
        <v>0</v>
      </c>
      <c r="T47" s="241">
        <v>0</v>
      </c>
      <c r="U47" s="232">
        <f t="shared" si="11"/>
        <v>0</v>
      </c>
      <c r="V47" s="230">
        <f t="shared" si="12"/>
        <v>0</v>
      </c>
      <c r="W47" s="231">
        <v>0</v>
      </c>
      <c r="X47" s="232">
        <f t="shared" si="13"/>
        <v>0</v>
      </c>
      <c r="Y47" s="230">
        <f>Z47*E47</f>
        <v>3</v>
      </c>
      <c r="Z47" s="241">
        <v>0.5</v>
      </c>
      <c r="AA47" s="232">
        <f>Z47*J47</f>
        <v>45.6</v>
      </c>
      <c r="AB47" s="274">
        <f>T47+W47+Z47</f>
        <v>0.5</v>
      </c>
      <c r="AC47" s="286">
        <v>0.5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</row>
    <row r="48" spans="1:83" ht="25.5">
      <c r="A48" s="136" t="s">
        <v>382</v>
      </c>
      <c r="B48" s="136" t="s">
        <v>115</v>
      </c>
      <c r="C48" s="137" t="s">
        <v>23</v>
      </c>
      <c r="D48" s="137" t="s">
        <v>17</v>
      </c>
      <c r="E48" s="138">
        <v>1</v>
      </c>
      <c r="F48" s="139">
        <v>24.13</v>
      </c>
      <c r="G48" s="140">
        <f>F48*E48</f>
        <v>24.13</v>
      </c>
      <c r="H48" s="139">
        <v>8.44</v>
      </c>
      <c r="I48" s="141">
        <f t="shared" si="19"/>
        <v>8.44</v>
      </c>
      <c r="J48" s="142">
        <f>G48+I48</f>
        <v>32.57</v>
      </c>
      <c r="K48" s="44">
        <v>20.8</v>
      </c>
      <c r="L48" s="46">
        <f t="shared" si="9"/>
        <v>7.279999999999999</v>
      </c>
      <c r="M48" s="58">
        <v>32.81</v>
      </c>
      <c r="N48" s="6">
        <f t="shared" si="17"/>
        <v>32.57</v>
      </c>
      <c r="O48" s="188">
        <f t="shared" si="18"/>
        <v>0.240000000000002</v>
      </c>
      <c r="P48" s="5"/>
      <c r="Q48" s="5"/>
      <c r="R48" s="5"/>
      <c r="S48" s="230">
        <f t="shared" si="10"/>
        <v>0</v>
      </c>
      <c r="T48" s="241">
        <v>0</v>
      </c>
      <c r="U48" s="232">
        <f t="shared" si="11"/>
        <v>0</v>
      </c>
      <c r="V48" s="230">
        <f t="shared" si="12"/>
        <v>0</v>
      </c>
      <c r="W48" s="231">
        <v>0</v>
      </c>
      <c r="X48" s="232">
        <f t="shared" si="13"/>
        <v>0</v>
      </c>
      <c r="Y48" s="230">
        <f>Z48*E48</f>
        <v>0.5</v>
      </c>
      <c r="Z48" s="241">
        <v>0.5</v>
      </c>
      <c r="AA48" s="232">
        <f>Z48*J48</f>
        <v>16.285</v>
      </c>
      <c r="AB48" s="274">
        <f>T48+W48+Z48</f>
        <v>0.5</v>
      </c>
      <c r="AC48" s="286">
        <v>0.5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</row>
    <row r="49" spans="1:83" ht="12.75">
      <c r="A49" s="136" t="s">
        <v>383</v>
      </c>
      <c r="B49" s="136" t="s">
        <v>116</v>
      </c>
      <c r="C49" s="137" t="s">
        <v>52</v>
      </c>
      <c r="D49" s="137" t="s">
        <v>17</v>
      </c>
      <c r="E49" s="138">
        <v>6</v>
      </c>
      <c r="F49" s="139">
        <v>2.09</v>
      </c>
      <c r="G49" s="140">
        <f>F49*E49</f>
        <v>12.54</v>
      </c>
      <c r="H49" s="139">
        <v>0</v>
      </c>
      <c r="I49" s="141">
        <f t="shared" si="19"/>
        <v>0</v>
      </c>
      <c r="J49" s="142">
        <f>G49+I49</f>
        <v>12.54</v>
      </c>
      <c r="K49" s="44">
        <v>1.8</v>
      </c>
      <c r="L49" s="46"/>
      <c r="M49" s="58">
        <v>12.66</v>
      </c>
      <c r="N49" s="6">
        <f t="shared" si="17"/>
        <v>12.54</v>
      </c>
      <c r="O49" s="188">
        <f t="shared" si="18"/>
        <v>0.120000000000001</v>
      </c>
      <c r="P49" s="5"/>
      <c r="Q49" s="5"/>
      <c r="R49" s="5"/>
      <c r="S49" s="230">
        <f t="shared" si="10"/>
        <v>0</v>
      </c>
      <c r="T49" s="241">
        <v>0</v>
      </c>
      <c r="U49" s="232">
        <f t="shared" si="11"/>
        <v>0</v>
      </c>
      <c r="V49" s="230">
        <f t="shared" si="12"/>
        <v>0</v>
      </c>
      <c r="W49" s="231">
        <v>0</v>
      </c>
      <c r="X49" s="232">
        <f t="shared" si="13"/>
        <v>0</v>
      </c>
      <c r="Y49" s="230">
        <f>Z49*E49</f>
        <v>0</v>
      </c>
      <c r="Z49" s="241">
        <v>0</v>
      </c>
      <c r="AA49" s="232">
        <f>Z49*J49</f>
        <v>0</v>
      </c>
      <c r="AB49" s="274">
        <f>T49+W49+Z49</f>
        <v>0</v>
      </c>
      <c r="AC49" s="286">
        <v>1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</row>
    <row r="50" spans="1:83" s="8" customFormat="1" ht="12.75">
      <c r="A50" s="144" t="s">
        <v>117</v>
      </c>
      <c r="B50" s="144" t="s">
        <v>118</v>
      </c>
      <c r="C50" s="154"/>
      <c r="D50" s="154"/>
      <c r="E50" s="155"/>
      <c r="F50" s="156"/>
      <c r="G50" s="157"/>
      <c r="H50" s="143"/>
      <c r="I50" s="158"/>
      <c r="J50" s="159"/>
      <c r="K50" s="44">
        <f>0.85*'ORÇAMENTO CRICIUMA FINAL (2)'!F103</f>
        <v>0</v>
      </c>
      <c r="L50" s="46">
        <f t="shared" si="9"/>
        <v>0</v>
      </c>
      <c r="M50" s="122"/>
      <c r="N50" s="6">
        <f t="shared" si="17"/>
        <v>0</v>
      </c>
      <c r="O50" s="188">
        <f t="shared" si="18"/>
        <v>0</v>
      </c>
      <c r="P50" s="24"/>
      <c r="Q50" s="24"/>
      <c r="R50" s="24"/>
      <c r="S50" s="242"/>
      <c r="T50" s="242"/>
      <c r="U50" s="242"/>
      <c r="V50" s="230"/>
      <c r="W50" s="242"/>
      <c r="X50" s="232"/>
      <c r="Y50" s="230"/>
      <c r="Z50" s="241"/>
      <c r="AA50" s="232"/>
      <c r="AB50" s="274"/>
      <c r="AC50" s="286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</row>
    <row r="51" spans="1:83" s="8" customFormat="1" ht="12.75">
      <c r="A51" s="144" t="s">
        <v>121</v>
      </c>
      <c r="B51" s="144" t="s">
        <v>122</v>
      </c>
      <c r="C51" s="154"/>
      <c r="D51" s="154"/>
      <c r="E51" s="155"/>
      <c r="F51" s="156"/>
      <c r="G51" s="157"/>
      <c r="H51" s="143"/>
      <c r="I51" s="158"/>
      <c r="J51" s="159"/>
      <c r="K51" s="24"/>
      <c r="L51" s="114"/>
      <c r="M51" s="122"/>
      <c r="N51" s="6">
        <f t="shared" si="17"/>
        <v>0</v>
      </c>
      <c r="O51" s="188">
        <f t="shared" si="18"/>
        <v>0</v>
      </c>
      <c r="P51" s="24"/>
      <c r="Q51" s="24"/>
      <c r="R51" s="24"/>
      <c r="S51" s="242"/>
      <c r="T51" s="242"/>
      <c r="U51" s="242"/>
      <c r="V51" s="230"/>
      <c r="W51" s="242"/>
      <c r="X51" s="232"/>
      <c r="Y51" s="230"/>
      <c r="Z51" s="242"/>
      <c r="AA51" s="232"/>
      <c r="AB51" s="275"/>
      <c r="AC51" s="286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</row>
    <row r="52" spans="1:83" ht="38.25">
      <c r="A52" s="136" t="s">
        <v>387</v>
      </c>
      <c r="B52" s="136" t="s">
        <v>123</v>
      </c>
      <c r="C52" s="137" t="s">
        <v>23</v>
      </c>
      <c r="D52" s="137" t="s">
        <v>17</v>
      </c>
      <c r="E52" s="138">
        <v>1</v>
      </c>
      <c r="F52" s="139">
        <v>98.6</v>
      </c>
      <c r="G52" s="140">
        <f>F52*E52</f>
        <v>98.6</v>
      </c>
      <c r="H52" s="139">
        <v>121.8</v>
      </c>
      <c r="I52" s="141">
        <f t="shared" si="19"/>
        <v>121.8</v>
      </c>
      <c r="J52" s="142">
        <f>G52+I52</f>
        <v>220.39999999999998</v>
      </c>
      <c r="K52" s="5">
        <v>85</v>
      </c>
      <c r="L52" s="113">
        <v>105</v>
      </c>
      <c r="M52" s="58">
        <v>230.74</v>
      </c>
      <c r="N52" s="6">
        <f t="shared" si="17"/>
        <v>220.39999999999998</v>
      </c>
      <c r="O52" s="188">
        <f t="shared" si="18"/>
        <v>10.340000000000032</v>
      </c>
      <c r="P52" s="5"/>
      <c r="Q52" s="5"/>
      <c r="R52" s="5"/>
      <c r="S52" s="230">
        <f t="shared" si="10"/>
        <v>0</v>
      </c>
      <c r="T52" s="241">
        <v>0</v>
      </c>
      <c r="U52" s="232">
        <f t="shared" si="11"/>
        <v>0</v>
      </c>
      <c r="V52" s="230">
        <f t="shared" si="12"/>
        <v>0</v>
      </c>
      <c r="W52" s="231">
        <v>0</v>
      </c>
      <c r="X52" s="232">
        <f t="shared" si="13"/>
        <v>0</v>
      </c>
      <c r="Y52" s="230">
        <f>Z52*E52</f>
        <v>0.8</v>
      </c>
      <c r="Z52" s="241">
        <v>0.8</v>
      </c>
      <c r="AA52" s="232">
        <f>Z52*J52</f>
        <v>176.32</v>
      </c>
      <c r="AB52" s="274">
        <f>T52+W52+Z52</f>
        <v>0.8</v>
      </c>
      <c r="AC52" s="286">
        <v>0.2</v>
      </c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</row>
    <row r="53" spans="1:83" ht="38.25">
      <c r="A53" s="136" t="s">
        <v>388</v>
      </c>
      <c r="B53" s="136" t="s">
        <v>124</v>
      </c>
      <c r="C53" s="137" t="s">
        <v>23</v>
      </c>
      <c r="D53" s="137" t="s">
        <v>17</v>
      </c>
      <c r="E53" s="138">
        <v>5</v>
      </c>
      <c r="F53" s="139">
        <v>46.4</v>
      </c>
      <c r="G53" s="140">
        <f>F53*E53</f>
        <v>232</v>
      </c>
      <c r="H53" s="139">
        <v>69.6</v>
      </c>
      <c r="I53" s="141">
        <f t="shared" si="19"/>
        <v>348</v>
      </c>
      <c r="J53" s="142">
        <f>G53+I53</f>
        <v>580</v>
      </c>
      <c r="K53" s="5">
        <v>40</v>
      </c>
      <c r="L53" s="113">
        <v>60</v>
      </c>
      <c r="M53" s="58">
        <v>586.75</v>
      </c>
      <c r="N53" s="6">
        <f t="shared" si="17"/>
        <v>580</v>
      </c>
      <c r="O53" s="188">
        <f t="shared" si="18"/>
        <v>6.75</v>
      </c>
      <c r="P53" s="5"/>
      <c r="Q53" s="5"/>
      <c r="R53" s="5"/>
      <c r="S53" s="230">
        <f t="shared" si="10"/>
        <v>0</v>
      </c>
      <c r="T53" s="241">
        <v>0</v>
      </c>
      <c r="U53" s="232">
        <f t="shared" si="11"/>
        <v>0</v>
      </c>
      <c r="V53" s="230">
        <f t="shared" si="12"/>
        <v>0</v>
      </c>
      <c r="W53" s="231">
        <v>0</v>
      </c>
      <c r="X53" s="232">
        <f t="shared" si="13"/>
        <v>0</v>
      </c>
      <c r="Y53" s="230">
        <f>Z53*E53</f>
        <v>2.5</v>
      </c>
      <c r="Z53" s="241">
        <v>0.5</v>
      </c>
      <c r="AA53" s="232">
        <f>Z53*J53</f>
        <v>290</v>
      </c>
      <c r="AB53" s="274">
        <f>T53+W53+Z53</f>
        <v>0.5</v>
      </c>
      <c r="AC53" s="286">
        <v>0.5</v>
      </c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</row>
    <row r="54" spans="1:83" ht="38.25">
      <c r="A54" s="136" t="s">
        <v>389</v>
      </c>
      <c r="B54" s="136" t="s">
        <v>125</v>
      </c>
      <c r="C54" s="137" t="s">
        <v>23</v>
      </c>
      <c r="D54" s="137" t="s">
        <v>17</v>
      </c>
      <c r="E54" s="138">
        <v>2</v>
      </c>
      <c r="F54" s="139">
        <v>156.6</v>
      </c>
      <c r="G54" s="140">
        <f>F54*E54</f>
        <v>313.2</v>
      </c>
      <c r="H54" s="139">
        <v>179.8</v>
      </c>
      <c r="I54" s="141">
        <f t="shared" si="19"/>
        <v>359.6</v>
      </c>
      <c r="J54" s="142">
        <f>G54+I54</f>
        <v>672.8</v>
      </c>
      <c r="K54" s="5">
        <v>135</v>
      </c>
      <c r="L54" s="113">
        <v>155</v>
      </c>
      <c r="M54" s="58">
        <v>678.6</v>
      </c>
      <c r="N54" s="6">
        <f t="shared" si="17"/>
        <v>672.8</v>
      </c>
      <c r="O54" s="188">
        <f t="shared" si="18"/>
        <v>5.800000000000068</v>
      </c>
      <c r="P54" s="5"/>
      <c r="Q54" s="5"/>
      <c r="R54" s="5"/>
      <c r="S54" s="230">
        <f t="shared" si="10"/>
        <v>0</v>
      </c>
      <c r="T54" s="241">
        <v>0</v>
      </c>
      <c r="U54" s="232">
        <f t="shared" si="11"/>
        <v>0</v>
      </c>
      <c r="V54" s="230">
        <f t="shared" si="12"/>
        <v>0</v>
      </c>
      <c r="W54" s="231">
        <v>0</v>
      </c>
      <c r="X54" s="232">
        <f t="shared" si="13"/>
        <v>0</v>
      </c>
      <c r="Y54" s="230">
        <f>Z54*E54</f>
        <v>1.6</v>
      </c>
      <c r="Z54" s="241">
        <v>0.8</v>
      </c>
      <c r="AA54" s="232">
        <f>Z54*J54</f>
        <v>538.24</v>
      </c>
      <c r="AB54" s="274">
        <f>T54+W54+Z54</f>
        <v>0.8</v>
      </c>
      <c r="AC54" s="286">
        <v>0.2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</row>
    <row r="55" spans="1:83" ht="12.75">
      <c r="A55" s="136"/>
      <c r="B55" s="145" t="s">
        <v>466</v>
      </c>
      <c r="C55" s="137"/>
      <c r="D55" s="137"/>
      <c r="E55" s="138"/>
      <c r="F55" s="146"/>
      <c r="G55" s="140"/>
      <c r="H55" s="143"/>
      <c r="I55" s="141"/>
      <c r="J55" s="147">
        <f>SUM(J36:J54)</f>
        <v>2499.1791000000003</v>
      </c>
      <c r="M55" s="122">
        <v>4656.785200000001</v>
      </c>
      <c r="N55" s="12">
        <f t="shared" si="17"/>
        <v>2499.1791000000003</v>
      </c>
      <c r="O55" s="189">
        <f t="shared" si="18"/>
        <v>2157.606100000001</v>
      </c>
      <c r="P55" s="5"/>
      <c r="Q55" s="5"/>
      <c r="R55" s="5"/>
      <c r="S55" s="5"/>
      <c r="T55" s="5"/>
      <c r="U55" s="236">
        <f>SUM(U36:U54)</f>
        <v>0</v>
      </c>
      <c r="V55" s="5"/>
      <c r="W55" s="5"/>
      <c r="X55" s="236">
        <f>SUM(X36:X54)</f>
        <v>379.601141</v>
      </c>
      <c r="Y55" s="5"/>
      <c r="Z55" s="5"/>
      <c r="AA55" s="236">
        <f>SUM(AA36:AA54)</f>
        <v>1066.445</v>
      </c>
      <c r="AB55" s="273"/>
      <c r="AC55" s="286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</row>
    <row r="56" spans="1:83" s="8" customFormat="1" ht="12.75">
      <c r="A56" s="131" t="s">
        <v>126</v>
      </c>
      <c r="B56" s="131" t="s">
        <v>127</v>
      </c>
      <c r="C56" s="160"/>
      <c r="D56" s="160"/>
      <c r="E56" s="161"/>
      <c r="F56" s="162"/>
      <c r="G56" s="163"/>
      <c r="H56" s="149"/>
      <c r="I56" s="164"/>
      <c r="J56" s="250">
        <f>(U60+X60)/J60</f>
        <v>0.02848899017826763</v>
      </c>
      <c r="K56" s="165"/>
      <c r="L56" s="165"/>
      <c r="M56" s="165"/>
      <c r="N56" s="165"/>
      <c r="O56" s="165"/>
      <c r="P56" s="165"/>
      <c r="Q56" s="165"/>
      <c r="R56" s="165"/>
      <c r="S56" s="30"/>
      <c r="T56" s="30"/>
      <c r="U56" s="30"/>
      <c r="V56" s="30"/>
      <c r="W56" s="30"/>
      <c r="X56" s="30"/>
      <c r="Y56" s="30"/>
      <c r="Z56" s="30"/>
      <c r="AA56" s="30"/>
      <c r="AB56" s="276"/>
      <c r="AC56" s="287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</row>
    <row r="57" spans="1:83" s="8" customFormat="1" ht="12.75">
      <c r="A57" s="144" t="s">
        <v>128</v>
      </c>
      <c r="B57" s="144" t="s">
        <v>129</v>
      </c>
      <c r="C57" s="154"/>
      <c r="D57" s="154"/>
      <c r="E57" s="155"/>
      <c r="F57" s="156"/>
      <c r="G57" s="157"/>
      <c r="H57" s="143"/>
      <c r="I57" s="158"/>
      <c r="J57" s="159"/>
      <c r="K57" s="24"/>
      <c r="L57" s="114"/>
      <c r="M57" s="122"/>
      <c r="N57" s="6">
        <f t="shared" si="17"/>
        <v>0</v>
      </c>
      <c r="O57" s="188">
        <f t="shared" si="18"/>
        <v>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77"/>
      <c r="AC57" s="286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</row>
    <row r="58" spans="1:83" ht="33.75">
      <c r="A58" s="136" t="s">
        <v>390</v>
      </c>
      <c r="B58" s="136" t="s">
        <v>130</v>
      </c>
      <c r="C58" s="137" t="s">
        <v>52</v>
      </c>
      <c r="D58" s="137" t="s">
        <v>17</v>
      </c>
      <c r="E58" s="138">
        <v>1</v>
      </c>
      <c r="F58" s="139">
        <v>79993.6</v>
      </c>
      <c r="G58" s="140">
        <f>F58*E58</f>
        <v>79993.6</v>
      </c>
      <c r="H58" s="139">
        <v>0</v>
      </c>
      <c r="I58" s="141">
        <f t="shared" si="19"/>
        <v>0</v>
      </c>
      <c r="J58" s="142">
        <f>G58+I58</f>
        <v>79993.6</v>
      </c>
      <c r="K58" s="5">
        <v>68960</v>
      </c>
      <c r="M58" s="58">
        <v>80000</v>
      </c>
      <c r="N58" s="6">
        <f t="shared" si="17"/>
        <v>79993.6</v>
      </c>
      <c r="O58" s="188">
        <f t="shared" si="18"/>
        <v>6.399999999994179</v>
      </c>
      <c r="P58" s="6">
        <v>79993.6</v>
      </c>
      <c r="Q58" s="6">
        <v>70890.54</v>
      </c>
      <c r="R58" s="5"/>
      <c r="S58" s="230">
        <f>E58*T58</f>
        <v>0</v>
      </c>
      <c r="T58" s="241">
        <v>0</v>
      </c>
      <c r="U58" s="232">
        <f>T58*J58</f>
        <v>0</v>
      </c>
      <c r="V58" s="230">
        <f>W58*E58</f>
        <v>0.0414013</v>
      </c>
      <c r="W58" s="249">
        <v>0.0414013</v>
      </c>
      <c r="X58" s="232">
        <f>W58*Q58</f>
        <v>2934.960513702</v>
      </c>
      <c r="Y58" s="230">
        <f>Z58*E58</f>
        <v>0.05831</v>
      </c>
      <c r="Z58" s="255">
        <v>0.05831</v>
      </c>
      <c r="AA58" s="232">
        <f>Z58*Q58</f>
        <v>4133.6273874</v>
      </c>
      <c r="AB58" s="278">
        <f>T58+W58+Z58</f>
        <v>0.0997113</v>
      </c>
      <c r="AC58" s="286" t="s">
        <v>589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</row>
    <row r="59" spans="1:83" ht="33.75">
      <c r="A59" s="136" t="s">
        <v>391</v>
      </c>
      <c r="B59" s="136" t="s">
        <v>131</v>
      </c>
      <c r="C59" s="137" t="s">
        <v>52</v>
      </c>
      <c r="D59" s="137" t="s">
        <v>13</v>
      </c>
      <c r="E59" s="138">
        <v>390.69</v>
      </c>
      <c r="F59" s="139">
        <v>58.94</v>
      </c>
      <c r="G59" s="140">
        <f>F59*E59</f>
        <v>23027.2686</v>
      </c>
      <c r="H59" s="139">
        <v>0</v>
      </c>
      <c r="I59" s="141">
        <f t="shared" si="19"/>
        <v>0</v>
      </c>
      <c r="J59" s="142">
        <f>G59+I59</f>
        <v>23027.2686</v>
      </c>
      <c r="K59" s="5">
        <v>50.81</v>
      </c>
      <c r="M59" s="58">
        <v>23031.1755</v>
      </c>
      <c r="N59" s="6">
        <f t="shared" si="17"/>
        <v>23027.2686</v>
      </c>
      <c r="O59" s="188">
        <f t="shared" si="18"/>
        <v>3.9069000000017695</v>
      </c>
      <c r="P59" s="6">
        <v>23027.27</v>
      </c>
      <c r="Q59" s="6">
        <v>41069.69</v>
      </c>
      <c r="R59" s="5"/>
      <c r="S59" s="230">
        <f>E59*T59</f>
        <v>0</v>
      </c>
      <c r="T59" s="241">
        <v>0</v>
      </c>
      <c r="U59" s="232">
        <f>T59*J59</f>
        <v>0</v>
      </c>
      <c r="V59" s="230">
        <f>W59*E59</f>
        <v>0</v>
      </c>
      <c r="W59" s="231">
        <v>0</v>
      </c>
      <c r="X59" s="232">
        <f>W59*Q59</f>
        <v>0</v>
      </c>
      <c r="Y59" s="230">
        <f>Z59*E59</f>
        <v>0</v>
      </c>
      <c r="Z59" s="241">
        <v>0</v>
      </c>
      <c r="AA59" s="232">
        <f>Z59*J59</f>
        <v>0</v>
      </c>
      <c r="AB59" s="274">
        <f>T59+W59+Z59</f>
        <v>0</v>
      </c>
      <c r="AC59" s="286" t="s">
        <v>589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</row>
    <row r="60" spans="1:83" ht="12.75">
      <c r="A60" s="136"/>
      <c r="B60" s="145" t="s">
        <v>466</v>
      </c>
      <c r="C60" s="137"/>
      <c r="D60" s="137"/>
      <c r="E60" s="138"/>
      <c r="F60" s="146"/>
      <c r="G60" s="140"/>
      <c r="H60" s="143"/>
      <c r="I60" s="141"/>
      <c r="J60" s="147">
        <f>SUM(J58:J59)</f>
        <v>103020.8686</v>
      </c>
      <c r="M60" s="122">
        <v>103031.1755</v>
      </c>
      <c r="N60" s="12">
        <f t="shared" si="17"/>
        <v>103020.8686</v>
      </c>
      <c r="O60" s="189">
        <f t="shared" si="18"/>
        <v>10.306899999995949</v>
      </c>
      <c r="P60" s="6">
        <f>P58+P59</f>
        <v>103020.87000000001</v>
      </c>
      <c r="Q60" s="6">
        <f>Q58+Q59</f>
        <v>111960.23</v>
      </c>
      <c r="R60" s="195">
        <f>Q60-P60</f>
        <v>8939.359999999986</v>
      </c>
      <c r="S60" s="5"/>
      <c r="T60" s="5"/>
      <c r="U60" s="236">
        <f>SUM(U58:U59)</f>
        <v>0</v>
      </c>
      <c r="V60" s="5"/>
      <c r="W60" s="5"/>
      <c r="X60" s="236">
        <f>SUM(X58:X59)</f>
        <v>2934.960513702</v>
      </c>
      <c r="Y60" s="5"/>
      <c r="Z60" s="5"/>
      <c r="AA60" s="236">
        <f>SUM(AA58:AA59)</f>
        <v>4133.6273874</v>
      </c>
      <c r="AB60" s="273"/>
      <c r="AC60" s="286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</row>
    <row r="61" spans="1:83" s="8" customFormat="1" ht="25.5">
      <c r="A61" s="131" t="s">
        <v>132</v>
      </c>
      <c r="B61" s="131" t="s">
        <v>133</v>
      </c>
      <c r="C61" s="160"/>
      <c r="D61" s="160"/>
      <c r="E61" s="161"/>
      <c r="F61" s="162"/>
      <c r="G61" s="163"/>
      <c r="H61" s="149"/>
      <c r="I61" s="164"/>
      <c r="J61" s="250">
        <f>(U64+X64)/J64</f>
        <v>0.02414965818484303</v>
      </c>
      <c r="K61" s="165"/>
      <c r="L61" s="165"/>
      <c r="M61" s="165"/>
      <c r="N61" s="165"/>
      <c r="O61" s="165"/>
      <c r="P61" s="165"/>
      <c r="Q61" s="165"/>
      <c r="R61" s="165"/>
      <c r="S61" s="30"/>
      <c r="T61" s="30"/>
      <c r="U61" s="30"/>
      <c r="V61" s="30"/>
      <c r="W61" s="30"/>
      <c r="X61" s="30"/>
      <c r="Y61" s="30"/>
      <c r="Z61" s="30"/>
      <c r="AA61" s="30"/>
      <c r="AB61" s="276"/>
      <c r="AC61" s="287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</row>
    <row r="62" spans="1:83" s="8" customFormat="1" ht="12.75">
      <c r="A62" s="144" t="s">
        <v>134</v>
      </c>
      <c r="B62" s="144" t="s">
        <v>135</v>
      </c>
      <c r="C62" s="154"/>
      <c r="D62" s="154"/>
      <c r="E62" s="155"/>
      <c r="F62" s="156"/>
      <c r="G62" s="157"/>
      <c r="H62" s="143"/>
      <c r="I62" s="158"/>
      <c r="J62" s="159"/>
      <c r="K62" s="24"/>
      <c r="L62" s="114"/>
      <c r="M62" s="122"/>
      <c r="N62" s="6">
        <f t="shared" si="17"/>
        <v>0</v>
      </c>
      <c r="O62" s="188">
        <f t="shared" si="18"/>
        <v>0</v>
      </c>
      <c r="P62" s="12"/>
      <c r="Q62" s="12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77"/>
      <c r="AC62" s="286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</row>
    <row r="63" spans="1:83" ht="33.75">
      <c r="A63" s="136" t="s">
        <v>392</v>
      </c>
      <c r="B63" s="136" t="s">
        <v>136</v>
      </c>
      <c r="C63" s="137" t="s">
        <v>52</v>
      </c>
      <c r="D63" s="137" t="s">
        <v>13</v>
      </c>
      <c r="E63" s="138">
        <v>390.69</v>
      </c>
      <c r="F63" s="139">
        <v>13.71</v>
      </c>
      <c r="G63" s="140">
        <f>F63*E63</f>
        <v>5356.3599</v>
      </c>
      <c r="H63" s="139">
        <v>0</v>
      </c>
      <c r="I63" s="141">
        <f t="shared" si="19"/>
        <v>0</v>
      </c>
      <c r="J63" s="142">
        <f>G63+I63</f>
        <v>5356.3599</v>
      </c>
      <c r="K63" s="5">
        <v>11.82</v>
      </c>
      <c r="M63" s="58">
        <v>5360.2668</v>
      </c>
      <c r="N63" s="6">
        <f t="shared" si="17"/>
        <v>5356.3599</v>
      </c>
      <c r="O63" s="188">
        <f t="shared" si="18"/>
        <v>3.9068999999999505</v>
      </c>
      <c r="P63" s="6">
        <v>5356.36</v>
      </c>
      <c r="Q63" s="6"/>
      <c r="R63" s="5"/>
      <c r="S63" s="230">
        <f>E63*T63</f>
        <v>0</v>
      </c>
      <c r="T63" s="241">
        <v>0</v>
      </c>
      <c r="U63" s="232">
        <f>T63*J63</f>
        <v>0</v>
      </c>
      <c r="V63" s="230">
        <f>W63*E63</f>
        <v>2.31054066</v>
      </c>
      <c r="W63" s="249">
        <v>0.005914</v>
      </c>
      <c r="X63" s="232">
        <f>W63*Q64</f>
        <v>129.3542607</v>
      </c>
      <c r="Y63" s="230">
        <f>Z63*E63</f>
        <v>35.877844079999996</v>
      </c>
      <c r="Z63" s="255">
        <v>0.091832</v>
      </c>
      <c r="AA63" s="232">
        <f>Z63*Q64</f>
        <v>2008.6000115999998</v>
      </c>
      <c r="AB63" s="279">
        <f>T63+W63+Z63</f>
        <v>0.097746</v>
      </c>
      <c r="AC63" s="286" t="s">
        <v>589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</row>
    <row r="64" spans="1:83" ht="12.75">
      <c r="A64" s="136"/>
      <c r="B64" s="145" t="s">
        <v>466</v>
      </c>
      <c r="C64" s="137"/>
      <c r="D64" s="137"/>
      <c r="E64" s="138"/>
      <c r="F64" s="146"/>
      <c r="G64" s="140"/>
      <c r="H64" s="143"/>
      <c r="I64" s="141"/>
      <c r="J64" s="147">
        <f>SUM(J63)</f>
        <v>5356.3599</v>
      </c>
      <c r="M64" s="122">
        <v>5360.2668</v>
      </c>
      <c r="N64" s="12">
        <f t="shared" si="17"/>
        <v>5356.3599</v>
      </c>
      <c r="O64" s="189">
        <f t="shared" si="18"/>
        <v>3.9068999999999505</v>
      </c>
      <c r="P64" s="6">
        <f>P63</f>
        <v>5356.36</v>
      </c>
      <c r="Q64" s="6">
        <v>21872.55</v>
      </c>
      <c r="R64" s="195">
        <f>Q64-P64</f>
        <v>16516.19</v>
      </c>
      <c r="S64" s="5"/>
      <c r="T64" s="5"/>
      <c r="U64" s="236">
        <f>SUM(U63)</f>
        <v>0</v>
      </c>
      <c r="V64" s="5"/>
      <c r="W64" s="5"/>
      <c r="X64" s="236">
        <f>SUM(X63)</f>
        <v>129.3542607</v>
      </c>
      <c r="Y64" s="5"/>
      <c r="Z64" s="5"/>
      <c r="AA64" s="236">
        <f>SUM(AA63)</f>
        <v>2008.6000115999998</v>
      </c>
      <c r="AB64" s="273"/>
      <c r="AC64" s="286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</row>
    <row r="65" spans="1:83" s="8" customFormat="1" ht="12.75">
      <c r="A65" s="131" t="s">
        <v>137</v>
      </c>
      <c r="B65" s="131" t="s">
        <v>138</v>
      </c>
      <c r="C65" s="160"/>
      <c r="D65" s="160"/>
      <c r="E65" s="161"/>
      <c r="F65" s="162"/>
      <c r="G65" s="163"/>
      <c r="H65" s="149"/>
      <c r="I65" s="164"/>
      <c r="J65" s="250">
        <f>(U69+X69)/J69</f>
        <v>0</v>
      </c>
      <c r="K65" s="165"/>
      <c r="L65" s="165"/>
      <c r="M65" s="165"/>
      <c r="N65" s="165"/>
      <c r="O65" s="165"/>
      <c r="P65" s="165"/>
      <c r="Q65" s="165"/>
      <c r="R65" s="165"/>
      <c r="S65" s="30"/>
      <c r="T65" s="30"/>
      <c r="U65" s="30"/>
      <c r="V65" s="30"/>
      <c r="W65" s="30"/>
      <c r="X65" s="30"/>
      <c r="Y65" s="30"/>
      <c r="Z65" s="30"/>
      <c r="AA65" s="30"/>
      <c r="AB65" s="276"/>
      <c r="AC65" s="287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</row>
    <row r="66" spans="1:83" s="8" customFormat="1" ht="12.75">
      <c r="A66" s="144" t="s">
        <v>139</v>
      </c>
      <c r="B66" s="144" t="s">
        <v>140</v>
      </c>
      <c r="C66" s="154"/>
      <c r="D66" s="154"/>
      <c r="E66" s="155"/>
      <c r="F66" s="156"/>
      <c r="G66" s="157"/>
      <c r="H66" s="143"/>
      <c r="I66" s="158"/>
      <c r="J66" s="159"/>
      <c r="K66" s="24"/>
      <c r="L66" s="114"/>
      <c r="M66" s="122"/>
      <c r="N66" s="6">
        <f t="shared" si="17"/>
        <v>0</v>
      </c>
      <c r="O66" s="188">
        <f t="shared" si="18"/>
        <v>0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77"/>
      <c r="AC66" s="286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</row>
    <row r="67" spans="1:83" ht="25.5">
      <c r="A67" s="136" t="s">
        <v>393</v>
      </c>
      <c r="B67" s="136" t="s">
        <v>578</v>
      </c>
      <c r="C67" s="137" t="s">
        <v>23</v>
      </c>
      <c r="D67" s="137" t="s">
        <v>13</v>
      </c>
      <c r="E67" s="138">
        <v>432.85</v>
      </c>
      <c r="F67" s="139">
        <v>15.11</v>
      </c>
      <c r="G67" s="140">
        <f>F67*E67</f>
        <v>6540.3635</v>
      </c>
      <c r="H67" s="139">
        <v>2.73</v>
      </c>
      <c r="I67" s="141">
        <f t="shared" si="19"/>
        <v>1181.6805000000002</v>
      </c>
      <c r="J67" s="142">
        <f>G67+I67</f>
        <v>7722.044000000001</v>
      </c>
      <c r="K67" s="5">
        <v>13.03</v>
      </c>
      <c r="L67" s="113">
        <v>2.35</v>
      </c>
      <c r="M67" s="58">
        <v>7730.701</v>
      </c>
      <c r="N67" s="6">
        <f t="shared" si="17"/>
        <v>7722.044000000001</v>
      </c>
      <c r="O67" s="188">
        <f t="shared" si="18"/>
        <v>8.656999999999243</v>
      </c>
      <c r="P67" s="5"/>
      <c r="Q67" s="5"/>
      <c r="R67" s="5"/>
      <c r="S67" s="230">
        <f>E67*T67</f>
        <v>0</v>
      </c>
      <c r="T67" s="241">
        <v>0</v>
      </c>
      <c r="U67" s="232">
        <f>T67*J67</f>
        <v>0</v>
      </c>
      <c r="V67" s="230">
        <f>W67*E67</f>
        <v>0</v>
      </c>
      <c r="W67" s="231">
        <v>0</v>
      </c>
      <c r="X67" s="232">
        <f>W67*J67</f>
        <v>0</v>
      </c>
      <c r="Y67" s="230">
        <f>Z67*E67</f>
        <v>0</v>
      </c>
      <c r="Z67" s="241">
        <v>0</v>
      </c>
      <c r="AA67" s="232">
        <f>Z67*J67</f>
        <v>0</v>
      </c>
      <c r="AB67" s="274">
        <f>T67+W67+Z67</f>
        <v>0</v>
      </c>
      <c r="AC67" s="286">
        <v>1</v>
      </c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</row>
    <row r="68" spans="1:83" ht="25.5">
      <c r="A68" s="136" t="s">
        <v>394</v>
      </c>
      <c r="B68" s="136" t="s">
        <v>142</v>
      </c>
      <c r="C68" s="137" t="s">
        <v>23</v>
      </c>
      <c r="D68" s="137" t="s">
        <v>13</v>
      </c>
      <c r="E68" s="138">
        <v>75.5</v>
      </c>
      <c r="F68" s="139">
        <v>4.06</v>
      </c>
      <c r="G68" s="140">
        <f>F68*E68</f>
        <v>306.53</v>
      </c>
      <c r="H68" s="139">
        <v>6.03</v>
      </c>
      <c r="I68" s="141">
        <f t="shared" si="19"/>
        <v>455.26500000000004</v>
      </c>
      <c r="J68" s="142">
        <f>G68+I68</f>
        <v>761.7950000000001</v>
      </c>
      <c r="K68" s="5">
        <v>3.5</v>
      </c>
      <c r="L68" s="113">
        <v>5.2</v>
      </c>
      <c r="M68" s="58">
        <v>764.06</v>
      </c>
      <c r="N68" s="6">
        <f t="shared" si="17"/>
        <v>761.7950000000001</v>
      </c>
      <c r="O68" s="188">
        <f t="shared" si="18"/>
        <v>2.2649999999998727</v>
      </c>
      <c r="P68" s="5"/>
      <c r="Q68" s="5"/>
      <c r="R68" s="5"/>
      <c r="S68" s="230">
        <f>E68*T68</f>
        <v>0</v>
      </c>
      <c r="T68" s="241">
        <v>0</v>
      </c>
      <c r="U68" s="232">
        <f>T68*J68</f>
        <v>0</v>
      </c>
      <c r="V68" s="230">
        <f>W68*E68</f>
        <v>0</v>
      </c>
      <c r="W68" s="231">
        <v>0</v>
      </c>
      <c r="X68" s="232">
        <f>W68*J68</f>
        <v>0</v>
      </c>
      <c r="Y68" s="230">
        <f>Z68*E68</f>
        <v>0</v>
      </c>
      <c r="Z68" s="241">
        <v>0</v>
      </c>
      <c r="AA68" s="232">
        <f>Z68*J68</f>
        <v>0</v>
      </c>
      <c r="AB68" s="274">
        <f>T68+W68+Z68</f>
        <v>0</v>
      </c>
      <c r="AC68" s="286">
        <v>1</v>
      </c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</row>
    <row r="69" spans="1:83" ht="12.75">
      <c r="A69" s="136"/>
      <c r="B69" s="145" t="s">
        <v>466</v>
      </c>
      <c r="C69" s="137"/>
      <c r="D69" s="137"/>
      <c r="E69" s="138"/>
      <c r="F69" s="146"/>
      <c r="G69" s="140"/>
      <c r="H69" s="143"/>
      <c r="I69" s="141"/>
      <c r="J69" s="147">
        <f>SUM(J67:J68)</f>
        <v>8483.839</v>
      </c>
      <c r="M69" s="122">
        <v>8494.761</v>
      </c>
      <c r="N69" s="12">
        <f t="shared" si="17"/>
        <v>8483.839</v>
      </c>
      <c r="O69" s="189">
        <f t="shared" si="18"/>
        <v>10.92200000000048</v>
      </c>
      <c r="P69" s="5"/>
      <c r="Q69" s="5"/>
      <c r="R69" s="5"/>
      <c r="S69" s="5"/>
      <c r="T69" s="5"/>
      <c r="U69" s="236">
        <f>SUM(U67:U68)</f>
        <v>0</v>
      </c>
      <c r="V69" s="5"/>
      <c r="W69" s="5"/>
      <c r="X69" s="236">
        <f>SUM(X67:X68)</f>
        <v>0</v>
      </c>
      <c r="Y69" s="5"/>
      <c r="Z69" s="5"/>
      <c r="AA69" s="236">
        <f>SUM(AA67:AA68)</f>
        <v>0</v>
      </c>
      <c r="AB69" s="273"/>
      <c r="AC69" s="286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</row>
    <row r="70" spans="1:83" s="8" customFormat="1" ht="12.75">
      <c r="A70" s="131" t="s">
        <v>143</v>
      </c>
      <c r="B70" s="131" t="s">
        <v>144</v>
      </c>
      <c r="C70" s="160"/>
      <c r="D70" s="160"/>
      <c r="E70" s="161"/>
      <c r="F70" s="162"/>
      <c r="G70" s="163"/>
      <c r="H70" s="149"/>
      <c r="I70" s="164"/>
      <c r="J70" s="250">
        <f>(U78+X78)/J78</f>
        <v>0.12523526193955703</v>
      </c>
      <c r="K70" s="165"/>
      <c r="L70" s="165"/>
      <c r="M70" s="165"/>
      <c r="N70" s="165"/>
      <c r="O70" s="165"/>
      <c r="P70" s="165"/>
      <c r="Q70" s="165"/>
      <c r="R70" s="165"/>
      <c r="S70" s="30"/>
      <c r="T70" s="30"/>
      <c r="U70" s="30"/>
      <c r="V70" s="30"/>
      <c r="W70" s="30"/>
      <c r="X70" s="30"/>
      <c r="Y70" s="30"/>
      <c r="Z70" s="30"/>
      <c r="AA70" s="30"/>
      <c r="AB70" s="276"/>
      <c r="AC70" s="287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</row>
    <row r="71" spans="1:83" s="8" customFormat="1" ht="12.75">
      <c r="A71" s="144" t="s">
        <v>145</v>
      </c>
      <c r="B71" s="144" t="s">
        <v>146</v>
      </c>
      <c r="C71" s="154"/>
      <c r="D71" s="154"/>
      <c r="E71" s="155"/>
      <c r="F71" s="156"/>
      <c r="G71" s="157"/>
      <c r="H71" s="139">
        <v>0</v>
      </c>
      <c r="I71" s="158"/>
      <c r="J71" s="159"/>
      <c r="K71" s="24"/>
      <c r="L71" s="114"/>
      <c r="M71" s="122"/>
      <c r="N71" s="6">
        <f t="shared" si="17"/>
        <v>0</v>
      </c>
      <c r="O71" s="188">
        <f t="shared" si="18"/>
        <v>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77"/>
      <c r="AC71" s="286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</row>
    <row r="72" spans="1:29" ht="25.5">
      <c r="A72" s="136" t="s">
        <v>397</v>
      </c>
      <c r="B72" s="136" t="s">
        <v>148</v>
      </c>
      <c r="C72" s="137" t="s">
        <v>23</v>
      </c>
      <c r="D72" s="137" t="s">
        <v>13</v>
      </c>
      <c r="E72" s="138">
        <v>372.88</v>
      </c>
      <c r="F72" s="139">
        <v>5.96</v>
      </c>
      <c r="G72" s="140">
        <f>F72*E72</f>
        <v>2222.3648</v>
      </c>
      <c r="H72" s="139">
        <v>11.6</v>
      </c>
      <c r="I72" s="141">
        <f t="shared" si="19"/>
        <v>4325.407999999999</v>
      </c>
      <c r="J72" s="142">
        <f>G72+I72</f>
        <v>6547.772799999999</v>
      </c>
      <c r="K72" s="5">
        <v>5.14</v>
      </c>
      <c r="L72" s="113">
        <v>10</v>
      </c>
      <c r="M72" s="58">
        <v>6551.5016</v>
      </c>
      <c r="N72" s="6">
        <f t="shared" si="17"/>
        <v>6547.772799999999</v>
      </c>
      <c r="O72" s="188">
        <f t="shared" si="18"/>
        <v>3.728800000000774</v>
      </c>
      <c r="P72" s="5"/>
      <c r="Q72" s="5"/>
      <c r="R72" s="5"/>
      <c r="S72" s="230">
        <f aca="true" t="shared" si="20" ref="S72:S77">E72*T72</f>
        <v>0</v>
      </c>
      <c r="T72" s="241">
        <v>0</v>
      </c>
      <c r="U72" s="232">
        <f aca="true" t="shared" si="21" ref="U72:U77">T72*J72</f>
        <v>0</v>
      </c>
      <c r="V72" s="230">
        <f aca="true" t="shared" si="22" ref="V72:V77">W72*E72</f>
        <v>111.86399999999999</v>
      </c>
      <c r="W72" s="241">
        <v>0.3</v>
      </c>
      <c r="X72" s="232">
        <f aca="true" t="shared" si="23" ref="X72:X77">W72*J72</f>
        <v>1964.3318399999996</v>
      </c>
      <c r="Y72" s="230">
        <f aca="true" t="shared" si="24" ref="Y72:Y77">Z72*E72</f>
        <v>223.72799999999998</v>
      </c>
      <c r="Z72" s="241">
        <v>0.6</v>
      </c>
      <c r="AA72" s="232">
        <f aca="true" t="shared" si="25" ref="AA72:AA77">Z72*J72</f>
        <v>3928.663679999999</v>
      </c>
      <c r="AB72" s="274">
        <f aca="true" t="shared" si="26" ref="AB72:AB77">T72+W72+Z72</f>
        <v>0.8999999999999999</v>
      </c>
      <c r="AC72" s="286">
        <v>0.1</v>
      </c>
    </row>
    <row r="73" spans="1:29" s="8" customFormat="1" ht="12.75">
      <c r="A73" s="144" t="s">
        <v>149</v>
      </c>
      <c r="B73" s="144" t="s">
        <v>150</v>
      </c>
      <c r="C73" s="154"/>
      <c r="D73" s="154"/>
      <c r="E73" s="155"/>
      <c r="F73" s="139"/>
      <c r="G73" s="157"/>
      <c r="H73" s="143"/>
      <c r="I73" s="158"/>
      <c r="J73" s="159"/>
      <c r="K73" s="24"/>
      <c r="L73" s="114"/>
      <c r="M73" s="122"/>
      <c r="N73" s="6">
        <f t="shared" si="17"/>
        <v>0</v>
      </c>
      <c r="O73" s="188">
        <f t="shared" si="18"/>
        <v>0</v>
      </c>
      <c r="P73" s="24"/>
      <c r="Q73" s="24"/>
      <c r="R73" s="24"/>
      <c r="S73" s="242"/>
      <c r="T73" s="242"/>
      <c r="U73" s="232"/>
      <c r="V73" s="230"/>
      <c r="W73" s="231"/>
      <c r="X73" s="232"/>
      <c r="Y73" s="230"/>
      <c r="Z73" s="241"/>
      <c r="AA73" s="232"/>
      <c r="AB73" s="274"/>
      <c r="AC73" s="286"/>
    </row>
    <row r="74" spans="1:29" ht="25.5">
      <c r="A74" s="136" t="s">
        <v>398</v>
      </c>
      <c r="B74" s="136" t="s">
        <v>151</v>
      </c>
      <c r="C74" s="137" t="s">
        <v>23</v>
      </c>
      <c r="D74" s="137" t="s">
        <v>13</v>
      </c>
      <c r="E74" s="138">
        <v>160.6</v>
      </c>
      <c r="F74" s="139">
        <v>12.24</v>
      </c>
      <c r="G74" s="140">
        <f>F74*E74</f>
        <v>1965.744</v>
      </c>
      <c r="H74" s="139">
        <v>9.92</v>
      </c>
      <c r="I74" s="141">
        <f t="shared" si="19"/>
        <v>1593.152</v>
      </c>
      <c r="J74" s="142">
        <f>G74+I74</f>
        <v>3558.8959999999997</v>
      </c>
      <c r="K74" s="5">
        <v>10.55</v>
      </c>
      <c r="L74" s="113">
        <v>8.55</v>
      </c>
      <c r="M74" s="58">
        <v>3560.5019999999995</v>
      </c>
      <c r="N74" s="6">
        <f t="shared" si="17"/>
        <v>3558.8959999999997</v>
      </c>
      <c r="O74" s="188">
        <f t="shared" si="18"/>
        <v>1.6059999999997672</v>
      </c>
      <c r="P74" s="5"/>
      <c r="Q74" s="5"/>
      <c r="R74" s="5"/>
      <c r="S74" s="230">
        <f t="shared" si="20"/>
        <v>0</v>
      </c>
      <c r="T74" s="241">
        <v>0</v>
      </c>
      <c r="U74" s="232">
        <f t="shared" si="21"/>
        <v>0</v>
      </c>
      <c r="V74" s="230">
        <f t="shared" si="22"/>
        <v>0</v>
      </c>
      <c r="W74" s="231">
        <v>0</v>
      </c>
      <c r="X74" s="232">
        <f t="shared" si="23"/>
        <v>0</v>
      </c>
      <c r="Y74" s="230">
        <f t="shared" si="24"/>
        <v>136.51</v>
      </c>
      <c r="Z74" s="241">
        <v>0.85</v>
      </c>
      <c r="AA74" s="232">
        <f t="shared" si="25"/>
        <v>3025.0615999999995</v>
      </c>
      <c r="AB74" s="274">
        <f t="shared" si="26"/>
        <v>0.85</v>
      </c>
      <c r="AC74" s="286">
        <v>0.15</v>
      </c>
    </row>
    <row r="75" spans="1:29" s="8" customFormat="1" ht="12.75">
      <c r="A75" s="144" t="s">
        <v>152</v>
      </c>
      <c r="B75" s="144" t="s">
        <v>153</v>
      </c>
      <c r="C75" s="154"/>
      <c r="D75" s="154"/>
      <c r="E75" s="155"/>
      <c r="F75" s="139"/>
      <c r="G75" s="157"/>
      <c r="H75" s="143"/>
      <c r="I75" s="158"/>
      <c r="J75" s="159"/>
      <c r="K75" s="24"/>
      <c r="L75" s="114"/>
      <c r="M75" s="122"/>
      <c r="N75" s="6">
        <f t="shared" si="17"/>
        <v>0</v>
      </c>
      <c r="O75" s="188">
        <f t="shared" si="18"/>
        <v>0</v>
      </c>
      <c r="P75" s="24"/>
      <c r="Q75" s="24"/>
      <c r="R75" s="24"/>
      <c r="S75" s="242"/>
      <c r="T75" s="242"/>
      <c r="U75" s="242"/>
      <c r="V75" s="230"/>
      <c r="W75" s="231"/>
      <c r="X75" s="232"/>
      <c r="Y75" s="230"/>
      <c r="Z75" s="241"/>
      <c r="AA75" s="232"/>
      <c r="AB75" s="274"/>
      <c r="AC75" s="286"/>
    </row>
    <row r="76" spans="1:29" ht="25.5">
      <c r="A76" s="136" t="s">
        <v>399</v>
      </c>
      <c r="B76" s="136" t="s">
        <v>154</v>
      </c>
      <c r="C76" s="137" t="s">
        <v>52</v>
      </c>
      <c r="D76" s="137" t="s">
        <v>13</v>
      </c>
      <c r="E76" s="138">
        <v>57.8</v>
      </c>
      <c r="F76" s="139">
        <v>79.87</v>
      </c>
      <c r="G76" s="140">
        <f>F76*E76</f>
        <v>4616.486</v>
      </c>
      <c r="H76" s="139">
        <v>0</v>
      </c>
      <c r="I76" s="141">
        <f t="shared" si="19"/>
        <v>0</v>
      </c>
      <c r="J76" s="142">
        <f>G76+I76</f>
        <v>4616.486</v>
      </c>
      <c r="K76" s="110">
        <v>68.85</v>
      </c>
      <c r="L76" s="115"/>
      <c r="M76" s="58">
        <v>4618.22</v>
      </c>
      <c r="N76" s="6">
        <f t="shared" si="17"/>
        <v>4616.486</v>
      </c>
      <c r="O76" s="188">
        <f t="shared" si="18"/>
        <v>1.7340000000003783</v>
      </c>
      <c r="P76" s="5"/>
      <c r="Q76" s="5"/>
      <c r="R76" s="5"/>
      <c r="S76" s="230">
        <f t="shared" si="20"/>
        <v>0</v>
      </c>
      <c r="T76" s="241">
        <v>0</v>
      </c>
      <c r="U76" s="232">
        <f t="shared" si="21"/>
        <v>0</v>
      </c>
      <c r="V76" s="230">
        <f t="shared" si="22"/>
        <v>0</v>
      </c>
      <c r="W76" s="231">
        <v>0</v>
      </c>
      <c r="X76" s="232">
        <f t="shared" si="23"/>
        <v>0</v>
      </c>
      <c r="Y76" s="230">
        <f t="shared" si="24"/>
        <v>0</v>
      </c>
      <c r="Z76" s="241">
        <v>0</v>
      </c>
      <c r="AA76" s="232">
        <f t="shared" si="25"/>
        <v>0</v>
      </c>
      <c r="AB76" s="274">
        <f t="shared" si="26"/>
        <v>0</v>
      </c>
      <c r="AC76" s="286">
        <v>1</v>
      </c>
    </row>
    <row r="77" spans="1:29" ht="12.75">
      <c r="A77" s="136" t="s">
        <v>400</v>
      </c>
      <c r="B77" s="136" t="s">
        <v>155</v>
      </c>
      <c r="C77" s="137" t="s">
        <v>23</v>
      </c>
      <c r="D77" s="137" t="s">
        <v>156</v>
      </c>
      <c r="E77" s="138">
        <v>79.7</v>
      </c>
      <c r="F77" s="139">
        <v>8.94</v>
      </c>
      <c r="G77" s="140">
        <f>F77*E77</f>
        <v>712.518</v>
      </c>
      <c r="H77" s="139">
        <v>3.13</v>
      </c>
      <c r="I77" s="141">
        <f t="shared" si="19"/>
        <v>249.461</v>
      </c>
      <c r="J77" s="142">
        <f>G77+I77</f>
        <v>961.979</v>
      </c>
      <c r="K77" s="110">
        <v>7.71</v>
      </c>
      <c r="L77" s="116">
        <f>0.35*K77</f>
        <v>2.6984999999999997</v>
      </c>
      <c r="M77" s="58">
        <v>962.7760000000001</v>
      </c>
      <c r="N77" s="6">
        <f t="shared" si="17"/>
        <v>961.979</v>
      </c>
      <c r="O77" s="188">
        <f t="shared" si="18"/>
        <v>0.7970000000000255</v>
      </c>
      <c r="P77" s="5"/>
      <c r="Q77" s="5"/>
      <c r="R77" s="5"/>
      <c r="S77" s="230">
        <f t="shared" si="20"/>
        <v>0</v>
      </c>
      <c r="T77" s="241">
        <v>0</v>
      </c>
      <c r="U77" s="232">
        <f t="shared" si="21"/>
        <v>0</v>
      </c>
      <c r="V77" s="230">
        <f t="shared" si="22"/>
        <v>0</v>
      </c>
      <c r="W77" s="231">
        <v>0</v>
      </c>
      <c r="X77" s="232">
        <f t="shared" si="23"/>
        <v>0</v>
      </c>
      <c r="Y77" s="230">
        <f t="shared" si="24"/>
        <v>0</v>
      </c>
      <c r="Z77" s="241">
        <v>0</v>
      </c>
      <c r="AA77" s="232">
        <f t="shared" si="25"/>
        <v>0</v>
      </c>
      <c r="AB77" s="274">
        <f t="shared" si="26"/>
        <v>0</v>
      </c>
      <c r="AC77" s="286">
        <v>1</v>
      </c>
    </row>
    <row r="78" spans="1:29" ht="12.75">
      <c r="A78" s="136"/>
      <c r="B78" s="145" t="s">
        <v>466</v>
      </c>
      <c r="C78" s="137"/>
      <c r="D78" s="137"/>
      <c r="E78" s="138"/>
      <c r="F78" s="146"/>
      <c r="G78" s="140"/>
      <c r="H78" s="139">
        <v>0</v>
      </c>
      <c r="I78" s="141"/>
      <c r="J78" s="147">
        <f>SUM(J72:J77)</f>
        <v>15685.1338</v>
      </c>
      <c r="M78" s="122">
        <v>18513.200800000002</v>
      </c>
      <c r="N78" s="12">
        <f t="shared" si="17"/>
        <v>15685.1338</v>
      </c>
      <c r="O78" s="189">
        <f t="shared" si="18"/>
        <v>2828.0670000000027</v>
      </c>
      <c r="P78" s="5"/>
      <c r="Q78" s="5"/>
      <c r="R78" s="5"/>
      <c r="S78" s="5"/>
      <c r="T78" s="5"/>
      <c r="U78" s="236">
        <f>SUM(U72:U77)</f>
        <v>0</v>
      </c>
      <c r="V78" s="5"/>
      <c r="W78" s="5"/>
      <c r="X78" s="236">
        <f>SUM(X72:X77)</f>
        <v>1964.3318399999996</v>
      </c>
      <c r="Y78" s="5"/>
      <c r="Z78" s="5"/>
      <c r="AA78" s="236">
        <f>SUM(AA72:AA77)</f>
        <v>6953.725279999999</v>
      </c>
      <c r="AB78" s="273"/>
      <c r="AC78" s="286"/>
    </row>
    <row r="79" spans="1:29" s="8" customFormat="1" ht="12.75">
      <c r="A79" s="131" t="s">
        <v>157</v>
      </c>
      <c r="B79" s="131" t="s">
        <v>158</v>
      </c>
      <c r="C79" s="160"/>
      <c r="D79" s="160"/>
      <c r="E79" s="161"/>
      <c r="F79" s="162"/>
      <c r="G79" s="163"/>
      <c r="H79" s="149"/>
      <c r="I79" s="164"/>
      <c r="J79" s="250">
        <f>(U91+X91)/J91</f>
        <v>0</v>
      </c>
      <c r="K79" s="165"/>
      <c r="L79" s="165"/>
      <c r="M79" s="165"/>
      <c r="N79" s="165"/>
      <c r="O79" s="165"/>
      <c r="P79" s="165"/>
      <c r="Q79" s="165"/>
      <c r="R79" s="165"/>
      <c r="S79" s="30"/>
      <c r="T79" s="30"/>
      <c r="U79" s="30"/>
      <c r="V79" s="30"/>
      <c r="W79" s="30"/>
      <c r="X79" s="30"/>
      <c r="Y79" s="30"/>
      <c r="Z79" s="30"/>
      <c r="AA79" s="30"/>
      <c r="AB79" s="276"/>
      <c r="AC79" s="288"/>
    </row>
    <row r="80" spans="1:29" s="8" customFormat="1" ht="12.75">
      <c r="A80" s="144" t="s">
        <v>159</v>
      </c>
      <c r="B80" s="144" t="s">
        <v>160</v>
      </c>
      <c r="C80" s="154"/>
      <c r="D80" s="154"/>
      <c r="E80" s="155"/>
      <c r="F80" s="156"/>
      <c r="G80" s="157"/>
      <c r="H80" s="139">
        <v>0</v>
      </c>
      <c r="I80" s="158"/>
      <c r="J80" s="159"/>
      <c r="K80" s="24"/>
      <c r="L80" s="114"/>
      <c r="M80" s="122"/>
      <c r="N80" s="6">
        <f t="shared" si="17"/>
        <v>0</v>
      </c>
      <c r="O80" s="188">
        <f t="shared" si="18"/>
        <v>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77"/>
      <c r="AC80" s="286"/>
    </row>
    <row r="81" spans="1:29" ht="12.75">
      <c r="A81" s="136" t="s">
        <v>401</v>
      </c>
      <c r="B81" s="136" t="s">
        <v>161</v>
      </c>
      <c r="C81" s="137" t="s">
        <v>52</v>
      </c>
      <c r="D81" s="137" t="s">
        <v>13</v>
      </c>
      <c r="E81" s="138">
        <v>358.19</v>
      </c>
      <c r="F81" s="139">
        <v>23.1</v>
      </c>
      <c r="G81" s="140">
        <f>F81*E81</f>
        <v>8274.189</v>
      </c>
      <c r="H81" s="139">
        <v>0</v>
      </c>
      <c r="I81" s="141">
        <f t="shared" si="19"/>
        <v>0</v>
      </c>
      <c r="J81" s="142">
        <f>G81+I81</f>
        <v>8274.189</v>
      </c>
      <c r="K81" s="5">
        <v>19.91</v>
      </c>
      <c r="M81" s="58">
        <v>8277.7709</v>
      </c>
      <c r="N81" s="6">
        <f t="shared" si="17"/>
        <v>8274.189</v>
      </c>
      <c r="O81" s="188">
        <f t="shared" si="18"/>
        <v>3.581899999999223</v>
      </c>
      <c r="P81" s="5"/>
      <c r="Q81" s="5"/>
      <c r="R81" s="5"/>
      <c r="S81" s="230">
        <f aca="true" t="shared" si="27" ref="S81:S90">E81*T81</f>
        <v>0</v>
      </c>
      <c r="T81" s="241">
        <v>0</v>
      </c>
      <c r="U81" s="232">
        <f aca="true" t="shared" si="28" ref="U81:U90">T81*J81</f>
        <v>0</v>
      </c>
      <c r="V81" s="230">
        <f aca="true" t="shared" si="29" ref="V81:V90">W81*E81</f>
        <v>0</v>
      </c>
      <c r="W81" s="231">
        <v>0</v>
      </c>
      <c r="X81" s="232">
        <f aca="true" t="shared" si="30" ref="X81:X90">W81*J81</f>
        <v>0</v>
      </c>
      <c r="Y81" s="230">
        <f aca="true" t="shared" si="31" ref="Y81:Y90">Z81*E81</f>
        <v>322.371</v>
      </c>
      <c r="Z81" s="241">
        <v>0.9</v>
      </c>
      <c r="AA81" s="232">
        <f aca="true" t="shared" si="32" ref="AA81:AA90">Z81*J81</f>
        <v>7446.770100000001</v>
      </c>
      <c r="AB81" s="274">
        <f aca="true" t="shared" si="33" ref="AB81:AB90">T81+W81+Z81</f>
        <v>0.9</v>
      </c>
      <c r="AC81" s="286">
        <v>0.1</v>
      </c>
    </row>
    <row r="82" spans="1:29" ht="12.75">
      <c r="A82" s="136" t="s">
        <v>402</v>
      </c>
      <c r="B82" s="136" t="s">
        <v>162</v>
      </c>
      <c r="C82" s="137" t="s">
        <v>23</v>
      </c>
      <c r="D82" s="137" t="s">
        <v>13</v>
      </c>
      <c r="E82" s="138">
        <v>358.19</v>
      </c>
      <c r="F82" s="139">
        <v>4.41</v>
      </c>
      <c r="G82" s="140">
        <f>F82*E82</f>
        <v>1579.6179</v>
      </c>
      <c r="H82" s="139">
        <v>2.26</v>
      </c>
      <c r="I82" s="141">
        <f t="shared" si="19"/>
        <v>809.5093999999999</v>
      </c>
      <c r="J82" s="142">
        <f>G82+I82</f>
        <v>2389.1273</v>
      </c>
      <c r="K82" s="56">
        <v>3.8</v>
      </c>
      <c r="L82" s="113">
        <v>1.95</v>
      </c>
      <c r="M82" s="58">
        <v>2396.2911000000004</v>
      </c>
      <c r="N82" s="6">
        <f aca="true" t="shared" si="34" ref="N82:N145">J82</f>
        <v>2389.1273</v>
      </c>
      <c r="O82" s="188">
        <f aca="true" t="shared" si="35" ref="O82:O145">M82-N82</f>
        <v>7.163800000000265</v>
      </c>
      <c r="P82" s="5"/>
      <c r="Q82" s="5"/>
      <c r="R82" s="5"/>
      <c r="S82" s="230">
        <f t="shared" si="27"/>
        <v>0</v>
      </c>
      <c r="T82" s="241">
        <v>0</v>
      </c>
      <c r="U82" s="232">
        <f t="shared" si="28"/>
        <v>0</v>
      </c>
      <c r="V82" s="230">
        <f t="shared" si="29"/>
        <v>0</v>
      </c>
      <c r="W82" s="231">
        <v>0</v>
      </c>
      <c r="X82" s="232">
        <f t="shared" si="30"/>
        <v>0</v>
      </c>
      <c r="Y82" s="230">
        <f t="shared" si="31"/>
        <v>322.371</v>
      </c>
      <c r="Z82" s="241">
        <v>0.9</v>
      </c>
      <c r="AA82" s="232">
        <f t="shared" si="32"/>
        <v>2150.21457</v>
      </c>
      <c r="AB82" s="274">
        <f t="shared" si="33"/>
        <v>0.9</v>
      </c>
      <c r="AC82" s="286">
        <v>0.1</v>
      </c>
    </row>
    <row r="83" spans="1:29" s="8" customFormat="1" ht="12.75">
      <c r="A83" s="144" t="s">
        <v>163</v>
      </c>
      <c r="B83" s="144" t="s">
        <v>164</v>
      </c>
      <c r="C83" s="154"/>
      <c r="D83" s="154"/>
      <c r="E83" s="155"/>
      <c r="F83" s="156"/>
      <c r="G83" s="157"/>
      <c r="H83" s="143"/>
      <c r="I83" s="158"/>
      <c r="J83" s="159"/>
      <c r="K83" s="24"/>
      <c r="L83" s="114"/>
      <c r="M83" s="122"/>
      <c r="N83" s="6">
        <f t="shared" si="34"/>
        <v>0</v>
      </c>
      <c r="O83" s="188">
        <f t="shared" si="35"/>
        <v>0</v>
      </c>
      <c r="P83" s="24"/>
      <c r="Q83" s="24"/>
      <c r="R83" s="24"/>
      <c r="S83" s="242"/>
      <c r="T83" s="242"/>
      <c r="U83" s="242"/>
      <c r="V83" s="230">
        <f t="shared" si="29"/>
        <v>0</v>
      </c>
      <c r="W83" s="231">
        <v>0</v>
      </c>
      <c r="X83" s="232">
        <f t="shared" si="30"/>
        <v>0</v>
      </c>
      <c r="Y83" s="230">
        <f t="shared" si="31"/>
        <v>0</v>
      </c>
      <c r="Z83" s="241"/>
      <c r="AA83" s="232">
        <f t="shared" si="32"/>
        <v>0</v>
      </c>
      <c r="AB83" s="274">
        <f t="shared" si="33"/>
        <v>0</v>
      </c>
      <c r="AC83" s="286">
        <v>1</v>
      </c>
    </row>
    <row r="84" spans="1:29" ht="25.5">
      <c r="A84" s="136" t="s">
        <v>403</v>
      </c>
      <c r="B84" s="136" t="s">
        <v>165</v>
      </c>
      <c r="C84" s="137" t="s">
        <v>23</v>
      </c>
      <c r="D84" s="137" t="s">
        <v>13</v>
      </c>
      <c r="E84" s="138">
        <v>247.59</v>
      </c>
      <c r="F84" s="139">
        <v>29</v>
      </c>
      <c r="G84" s="140">
        <f>F84*E84</f>
        <v>7180.11</v>
      </c>
      <c r="H84" s="139">
        <v>9.44</v>
      </c>
      <c r="I84" s="141">
        <f t="shared" si="19"/>
        <v>2337.2496</v>
      </c>
      <c r="J84" s="142">
        <f>G84+I84</f>
        <v>9517.3596</v>
      </c>
      <c r="K84" s="57">
        <v>25</v>
      </c>
      <c r="L84" s="117">
        <v>8.14</v>
      </c>
      <c r="M84" s="58">
        <v>9519.8355</v>
      </c>
      <c r="N84" s="6">
        <f t="shared" si="34"/>
        <v>9517.3596</v>
      </c>
      <c r="O84" s="188">
        <f t="shared" si="35"/>
        <v>2.4758999999994558</v>
      </c>
      <c r="P84" s="5"/>
      <c r="Q84" s="5"/>
      <c r="R84" s="5"/>
      <c r="S84" s="230">
        <f t="shared" si="27"/>
        <v>0</v>
      </c>
      <c r="T84" s="241">
        <v>0</v>
      </c>
      <c r="U84" s="232">
        <f t="shared" si="28"/>
        <v>0</v>
      </c>
      <c r="V84" s="230">
        <f t="shared" si="29"/>
        <v>0</v>
      </c>
      <c r="W84" s="231">
        <v>0</v>
      </c>
      <c r="X84" s="232">
        <f t="shared" si="30"/>
        <v>0</v>
      </c>
      <c r="Y84" s="230">
        <f t="shared" si="31"/>
        <v>0</v>
      </c>
      <c r="Z84" s="241">
        <v>0</v>
      </c>
      <c r="AA84" s="232">
        <f t="shared" si="32"/>
        <v>0</v>
      </c>
      <c r="AB84" s="274">
        <f t="shared" si="33"/>
        <v>0</v>
      </c>
      <c r="AC84" s="286">
        <v>1</v>
      </c>
    </row>
    <row r="85" spans="1:29" ht="25.5">
      <c r="A85" s="136" t="s">
        <v>472</v>
      </c>
      <c r="B85" s="136" t="s">
        <v>473</v>
      </c>
      <c r="C85" s="137" t="s">
        <v>52</v>
      </c>
      <c r="D85" s="137" t="s">
        <v>13</v>
      </c>
      <c r="E85" s="138">
        <v>235.8</v>
      </c>
      <c r="F85" s="139">
        <v>6.48</v>
      </c>
      <c r="G85" s="140">
        <f>F85*E85</f>
        <v>1527.9840000000002</v>
      </c>
      <c r="H85" s="139">
        <v>0</v>
      </c>
      <c r="I85" s="141">
        <f t="shared" si="19"/>
        <v>0</v>
      </c>
      <c r="J85" s="142">
        <f>G85+I85</f>
        <v>1527.9840000000002</v>
      </c>
      <c r="K85" s="5">
        <v>5.59</v>
      </c>
      <c r="M85" s="58">
        <v>1532.7</v>
      </c>
      <c r="N85" s="6">
        <f t="shared" si="34"/>
        <v>1527.9840000000002</v>
      </c>
      <c r="O85" s="188">
        <f t="shared" si="35"/>
        <v>4.7159999999998945</v>
      </c>
      <c r="P85" s="5"/>
      <c r="Q85" s="5"/>
      <c r="R85" s="5"/>
      <c r="S85" s="230">
        <f t="shared" si="27"/>
        <v>0</v>
      </c>
      <c r="T85" s="241">
        <v>0</v>
      </c>
      <c r="U85" s="232">
        <f t="shared" si="28"/>
        <v>0</v>
      </c>
      <c r="V85" s="230">
        <f t="shared" si="29"/>
        <v>0</v>
      </c>
      <c r="W85" s="231">
        <v>0</v>
      </c>
      <c r="X85" s="232">
        <f t="shared" si="30"/>
        <v>0</v>
      </c>
      <c r="Y85" s="230">
        <f t="shared" si="31"/>
        <v>0</v>
      </c>
      <c r="Z85" s="241">
        <v>0</v>
      </c>
      <c r="AA85" s="232">
        <f t="shared" si="32"/>
        <v>0</v>
      </c>
      <c r="AB85" s="274">
        <f t="shared" si="33"/>
        <v>0</v>
      </c>
      <c r="AC85" s="286">
        <v>1</v>
      </c>
    </row>
    <row r="86" spans="1:29" s="8" customFormat="1" ht="12.75">
      <c r="A86" s="144" t="s">
        <v>166</v>
      </c>
      <c r="B86" s="144" t="s">
        <v>167</v>
      </c>
      <c r="C86" s="154"/>
      <c r="D86" s="154"/>
      <c r="E86" s="155"/>
      <c r="F86" s="156"/>
      <c r="G86" s="157"/>
      <c r="H86" s="143"/>
      <c r="I86" s="158"/>
      <c r="J86" s="159"/>
      <c r="K86" s="24"/>
      <c r="L86" s="114"/>
      <c r="M86" s="122"/>
      <c r="N86" s="6">
        <f t="shared" si="34"/>
        <v>0</v>
      </c>
      <c r="O86" s="188">
        <f t="shared" si="35"/>
        <v>0</v>
      </c>
      <c r="P86" s="24"/>
      <c r="Q86" s="24"/>
      <c r="R86" s="24"/>
      <c r="S86" s="242"/>
      <c r="T86" s="242"/>
      <c r="U86" s="242"/>
      <c r="V86" s="230">
        <f t="shared" si="29"/>
        <v>0</v>
      </c>
      <c r="W86" s="231">
        <v>0</v>
      </c>
      <c r="X86" s="232">
        <f t="shared" si="30"/>
        <v>0</v>
      </c>
      <c r="Y86" s="230">
        <f t="shared" si="31"/>
        <v>0</v>
      </c>
      <c r="Z86" s="241"/>
      <c r="AA86" s="232">
        <f t="shared" si="32"/>
        <v>0</v>
      </c>
      <c r="AB86" s="274">
        <f t="shared" si="33"/>
        <v>0</v>
      </c>
      <c r="AC86" s="286">
        <v>1</v>
      </c>
    </row>
    <row r="87" spans="1:29" ht="25.5">
      <c r="A87" s="136" t="s">
        <v>404</v>
      </c>
      <c r="B87" s="136" t="s">
        <v>168</v>
      </c>
      <c r="C87" s="137" t="s">
        <v>23</v>
      </c>
      <c r="D87" s="137" t="s">
        <v>13</v>
      </c>
      <c r="E87" s="138">
        <v>32.24</v>
      </c>
      <c r="F87" s="139">
        <v>65.23</v>
      </c>
      <c r="G87" s="140">
        <f>F87*E87</f>
        <v>2103.0152000000003</v>
      </c>
      <c r="H87" s="139">
        <v>70.76</v>
      </c>
      <c r="I87" s="141">
        <f t="shared" si="19"/>
        <v>2281.3024000000005</v>
      </c>
      <c r="J87" s="142">
        <f>G87+I87</f>
        <v>4384.3176</v>
      </c>
      <c r="K87" s="5">
        <v>56.23</v>
      </c>
      <c r="L87" s="113">
        <v>61</v>
      </c>
      <c r="M87" s="58">
        <v>4385.6071999999995</v>
      </c>
      <c r="N87" s="6">
        <f t="shared" si="34"/>
        <v>4384.3176</v>
      </c>
      <c r="O87" s="188">
        <f t="shared" si="35"/>
        <v>1.2895999999991545</v>
      </c>
      <c r="P87" s="5"/>
      <c r="Q87" s="5"/>
      <c r="R87" s="5"/>
      <c r="S87" s="230">
        <f t="shared" si="27"/>
        <v>0</v>
      </c>
      <c r="T87" s="241">
        <v>0</v>
      </c>
      <c r="U87" s="232">
        <f t="shared" si="28"/>
        <v>0</v>
      </c>
      <c r="V87" s="230">
        <f t="shared" si="29"/>
        <v>0</v>
      </c>
      <c r="W87" s="231">
        <v>0</v>
      </c>
      <c r="X87" s="232">
        <f t="shared" si="30"/>
        <v>0</v>
      </c>
      <c r="Y87" s="230">
        <f t="shared" si="31"/>
        <v>25.792</v>
      </c>
      <c r="Z87" s="241">
        <v>0.8</v>
      </c>
      <c r="AA87" s="232">
        <f t="shared" si="32"/>
        <v>3507.4540800000004</v>
      </c>
      <c r="AB87" s="274">
        <f t="shared" si="33"/>
        <v>0.8</v>
      </c>
      <c r="AC87" s="286">
        <v>0.2</v>
      </c>
    </row>
    <row r="88" spans="1:29" s="8" customFormat="1" ht="12.75">
      <c r="A88" s="144" t="s">
        <v>169</v>
      </c>
      <c r="B88" s="144" t="s">
        <v>170</v>
      </c>
      <c r="C88" s="154"/>
      <c r="D88" s="154"/>
      <c r="E88" s="155"/>
      <c r="F88" s="156"/>
      <c r="G88" s="157"/>
      <c r="H88" s="143"/>
      <c r="I88" s="158"/>
      <c r="J88" s="159"/>
      <c r="K88" s="24"/>
      <c r="L88" s="114"/>
      <c r="M88" s="122"/>
      <c r="N88" s="6">
        <f t="shared" si="34"/>
        <v>0</v>
      </c>
      <c r="O88" s="188">
        <f t="shared" si="35"/>
        <v>0</v>
      </c>
      <c r="P88" s="24"/>
      <c r="Q88" s="24"/>
      <c r="R88" s="24"/>
      <c r="S88" s="242"/>
      <c r="T88" s="242"/>
      <c r="U88" s="242"/>
      <c r="V88" s="230"/>
      <c r="W88" s="231"/>
      <c r="X88" s="232"/>
      <c r="Y88" s="230"/>
      <c r="Z88" s="241"/>
      <c r="AA88" s="232"/>
      <c r="AB88" s="274"/>
      <c r="AC88" s="286"/>
    </row>
    <row r="89" spans="1:29" ht="38.25">
      <c r="A89" s="136" t="s">
        <v>405</v>
      </c>
      <c r="B89" s="136" t="s">
        <v>171</v>
      </c>
      <c r="C89" s="137" t="s">
        <v>23</v>
      </c>
      <c r="D89" s="137" t="s">
        <v>13</v>
      </c>
      <c r="E89" s="138">
        <v>89.89</v>
      </c>
      <c r="F89" s="139">
        <v>12.3</v>
      </c>
      <c r="G89" s="140">
        <f>F89*E89</f>
        <v>1105.6470000000002</v>
      </c>
      <c r="H89" s="139">
        <v>17.92</v>
      </c>
      <c r="I89" s="141">
        <f t="shared" si="19"/>
        <v>1610.8288000000002</v>
      </c>
      <c r="J89" s="142">
        <f>G89+I89</f>
        <v>2716.4758</v>
      </c>
      <c r="K89" s="5">
        <v>10.6</v>
      </c>
      <c r="L89" s="113">
        <v>15.45</v>
      </c>
      <c r="M89" s="58">
        <v>2717.3747</v>
      </c>
      <c r="N89" s="6">
        <f t="shared" si="34"/>
        <v>2716.4758</v>
      </c>
      <c r="O89" s="188">
        <f t="shared" si="35"/>
        <v>0.898899999999685</v>
      </c>
      <c r="P89" s="5"/>
      <c r="Q89" s="5"/>
      <c r="R89" s="5"/>
      <c r="S89" s="230">
        <f t="shared" si="27"/>
        <v>0</v>
      </c>
      <c r="T89" s="241">
        <v>0</v>
      </c>
      <c r="U89" s="232">
        <f t="shared" si="28"/>
        <v>0</v>
      </c>
      <c r="V89" s="230">
        <f t="shared" si="29"/>
        <v>0</v>
      </c>
      <c r="W89" s="231">
        <v>0</v>
      </c>
      <c r="X89" s="232">
        <f t="shared" si="30"/>
        <v>0</v>
      </c>
      <c r="Y89" s="230">
        <f t="shared" si="31"/>
        <v>0</v>
      </c>
      <c r="Z89" s="241">
        <v>0</v>
      </c>
      <c r="AA89" s="232">
        <f t="shared" si="32"/>
        <v>0</v>
      </c>
      <c r="AB89" s="274">
        <f t="shared" si="33"/>
        <v>0</v>
      </c>
      <c r="AC89" s="286">
        <v>1</v>
      </c>
    </row>
    <row r="90" spans="1:29" ht="25.5">
      <c r="A90" s="136" t="s">
        <v>406</v>
      </c>
      <c r="B90" s="136" t="s">
        <v>172</v>
      </c>
      <c r="C90" s="137" t="s">
        <v>52</v>
      </c>
      <c r="D90" s="137" t="s">
        <v>13</v>
      </c>
      <c r="E90" s="138">
        <v>89.89</v>
      </c>
      <c r="F90" s="139">
        <v>19.99</v>
      </c>
      <c r="G90" s="140">
        <f>F90*E90</f>
        <v>1796.9010999999998</v>
      </c>
      <c r="H90" s="139">
        <v>0</v>
      </c>
      <c r="I90" s="141">
        <f t="shared" si="19"/>
        <v>0</v>
      </c>
      <c r="J90" s="142">
        <f>G90+I90</f>
        <v>1796.9010999999998</v>
      </c>
      <c r="K90" s="5">
        <v>17.23</v>
      </c>
      <c r="M90" s="58">
        <v>1797.8</v>
      </c>
      <c r="N90" s="6">
        <f t="shared" si="34"/>
        <v>1796.9010999999998</v>
      </c>
      <c r="O90" s="188">
        <f t="shared" si="35"/>
        <v>0.8989000000001397</v>
      </c>
      <c r="P90" s="5"/>
      <c r="Q90" s="5"/>
      <c r="R90" s="5"/>
      <c r="S90" s="230">
        <f t="shared" si="27"/>
        <v>0</v>
      </c>
      <c r="T90" s="241">
        <v>0</v>
      </c>
      <c r="U90" s="232">
        <f t="shared" si="28"/>
        <v>0</v>
      </c>
      <c r="V90" s="230">
        <f t="shared" si="29"/>
        <v>0</v>
      </c>
      <c r="W90" s="231">
        <v>0</v>
      </c>
      <c r="X90" s="232">
        <f t="shared" si="30"/>
        <v>0</v>
      </c>
      <c r="Y90" s="230">
        <f t="shared" si="31"/>
        <v>0</v>
      </c>
      <c r="Z90" s="241">
        <v>0</v>
      </c>
      <c r="AA90" s="232">
        <f t="shared" si="32"/>
        <v>0</v>
      </c>
      <c r="AB90" s="274">
        <f t="shared" si="33"/>
        <v>0</v>
      </c>
      <c r="AC90" s="286">
        <v>1</v>
      </c>
    </row>
    <row r="91" spans="1:29" ht="12.75">
      <c r="A91" s="136"/>
      <c r="B91" s="145" t="s">
        <v>466</v>
      </c>
      <c r="C91" s="137"/>
      <c r="D91" s="137"/>
      <c r="E91" s="138"/>
      <c r="F91" s="146"/>
      <c r="G91" s="140"/>
      <c r="H91" s="139">
        <v>0</v>
      </c>
      <c r="I91" s="141"/>
      <c r="J91" s="147">
        <f>SUM(J81:J90)</f>
        <v>30606.3544</v>
      </c>
      <c r="M91" s="122">
        <v>30627.379399999998</v>
      </c>
      <c r="N91" s="12">
        <f t="shared" si="34"/>
        <v>30606.3544</v>
      </c>
      <c r="O91" s="189">
        <f t="shared" si="35"/>
        <v>21.024999999997817</v>
      </c>
      <c r="P91" s="5"/>
      <c r="Q91" s="5"/>
      <c r="R91" s="5"/>
      <c r="S91" s="5"/>
      <c r="T91" s="5"/>
      <c r="U91" s="236">
        <f>SUM(U81:U90)</f>
        <v>0</v>
      </c>
      <c r="V91" s="5"/>
      <c r="W91" s="5"/>
      <c r="X91" s="236">
        <f>SUM(X81:X90)</f>
        <v>0</v>
      </c>
      <c r="Y91" s="5"/>
      <c r="Z91" s="5"/>
      <c r="AA91" s="236">
        <f>SUM(AA81:AA90)</f>
        <v>13104.438750000001</v>
      </c>
      <c r="AB91" s="273"/>
      <c r="AC91" s="286"/>
    </row>
    <row r="92" spans="1:29" s="8" customFormat="1" ht="12.75">
      <c r="A92" s="131" t="s">
        <v>173</v>
      </c>
      <c r="B92" s="131" t="s">
        <v>174</v>
      </c>
      <c r="C92" s="160"/>
      <c r="D92" s="160"/>
      <c r="E92" s="161"/>
      <c r="F92" s="162"/>
      <c r="G92" s="163"/>
      <c r="H92" s="149"/>
      <c r="I92" s="164"/>
      <c r="J92" s="250">
        <f>(U98+X98)/J98</f>
        <v>0</v>
      </c>
      <c r="K92" s="165"/>
      <c r="L92" s="165"/>
      <c r="M92" s="165"/>
      <c r="N92" s="165"/>
      <c r="O92" s="165"/>
      <c r="P92" s="165"/>
      <c r="Q92" s="165"/>
      <c r="R92" s="165"/>
      <c r="S92" s="30"/>
      <c r="T92" s="30"/>
      <c r="U92" s="30"/>
      <c r="V92" s="30"/>
      <c r="W92" s="30"/>
      <c r="X92" s="30"/>
      <c r="Y92" s="30"/>
      <c r="Z92" s="30"/>
      <c r="AA92" s="30"/>
      <c r="AB92" s="276"/>
      <c r="AC92" s="288"/>
    </row>
    <row r="93" spans="1:29" s="8" customFormat="1" ht="12.75">
      <c r="A93" s="144" t="s">
        <v>175</v>
      </c>
      <c r="B93" s="144" t="s">
        <v>176</v>
      </c>
      <c r="C93" s="154"/>
      <c r="D93" s="154"/>
      <c r="E93" s="155"/>
      <c r="F93" s="156"/>
      <c r="G93" s="157"/>
      <c r="H93" s="139">
        <v>0</v>
      </c>
      <c r="I93" s="158"/>
      <c r="J93" s="159"/>
      <c r="K93" s="24"/>
      <c r="L93" s="114"/>
      <c r="M93" s="122"/>
      <c r="N93" s="6">
        <f t="shared" si="34"/>
        <v>0</v>
      </c>
      <c r="O93" s="188">
        <f t="shared" si="35"/>
        <v>0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77"/>
      <c r="AC93" s="286"/>
    </row>
    <row r="94" spans="1:29" ht="25.5">
      <c r="A94" s="136" t="s">
        <v>407</v>
      </c>
      <c r="B94" s="136" t="s">
        <v>177</v>
      </c>
      <c r="C94" s="137" t="s">
        <v>52</v>
      </c>
      <c r="D94" s="137" t="s">
        <v>37</v>
      </c>
      <c r="E94" s="138">
        <v>12</v>
      </c>
      <c r="F94" s="139">
        <v>34.8</v>
      </c>
      <c r="G94" s="140">
        <f>F94*E94</f>
        <v>417.59999999999997</v>
      </c>
      <c r="H94" s="139">
        <v>0</v>
      </c>
      <c r="I94" s="141">
        <f aca="true" t="shared" si="36" ref="I94:I161">H94*E94</f>
        <v>0</v>
      </c>
      <c r="J94" s="142">
        <f>G94+I94</f>
        <v>417.59999999999997</v>
      </c>
      <c r="K94" s="5">
        <v>30</v>
      </c>
      <c r="M94" s="58">
        <v>418.68</v>
      </c>
      <c r="N94" s="6">
        <f t="shared" si="34"/>
        <v>417.59999999999997</v>
      </c>
      <c r="O94" s="188">
        <f t="shared" si="35"/>
        <v>1.080000000000041</v>
      </c>
      <c r="P94" s="5"/>
      <c r="Q94" s="5"/>
      <c r="R94" s="5"/>
      <c r="S94" s="230">
        <f>E94*T94</f>
        <v>0</v>
      </c>
      <c r="T94" s="241">
        <v>0</v>
      </c>
      <c r="U94" s="232">
        <f>T94*J94</f>
        <v>0</v>
      </c>
      <c r="V94" s="230">
        <f>W94*E94</f>
        <v>0</v>
      </c>
      <c r="W94" s="231">
        <v>0</v>
      </c>
      <c r="X94" s="232">
        <f>W94*J94</f>
        <v>0</v>
      </c>
      <c r="Y94" s="230">
        <f>Z94*E94</f>
        <v>0</v>
      </c>
      <c r="Z94" s="241">
        <v>0</v>
      </c>
      <c r="AA94" s="232">
        <f>Z94*J94</f>
        <v>0</v>
      </c>
      <c r="AB94" s="274">
        <f>T94+W94+Z94</f>
        <v>0</v>
      </c>
      <c r="AC94" s="286">
        <v>1</v>
      </c>
    </row>
    <row r="95" spans="1:29" s="8" customFormat="1" ht="12.75">
      <c r="A95" s="144" t="s">
        <v>178</v>
      </c>
      <c r="B95" s="144" t="s">
        <v>179</v>
      </c>
      <c r="C95" s="154"/>
      <c r="D95" s="154"/>
      <c r="E95" s="155"/>
      <c r="F95" s="156"/>
      <c r="G95" s="157"/>
      <c r="H95" s="139">
        <v>0</v>
      </c>
      <c r="I95" s="158"/>
      <c r="J95" s="159"/>
      <c r="K95" s="24"/>
      <c r="L95" s="114"/>
      <c r="M95" s="122"/>
      <c r="N95" s="6">
        <f t="shared" si="34"/>
        <v>0</v>
      </c>
      <c r="O95" s="188">
        <f t="shared" si="35"/>
        <v>0</v>
      </c>
      <c r="P95" s="24"/>
      <c r="Q95" s="24"/>
      <c r="R95" s="24"/>
      <c r="S95" s="242"/>
      <c r="T95" s="242"/>
      <c r="U95" s="242"/>
      <c r="V95" s="230">
        <f>W95*E95</f>
        <v>0</v>
      </c>
      <c r="W95" s="231">
        <v>0</v>
      </c>
      <c r="X95" s="232">
        <f>W95*J95</f>
        <v>0</v>
      </c>
      <c r="Y95" s="230">
        <f>Z95*E95</f>
        <v>0</v>
      </c>
      <c r="Z95" s="241">
        <v>0</v>
      </c>
      <c r="AA95" s="232">
        <f>Z95*J95</f>
        <v>0</v>
      </c>
      <c r="AB95" s="274">
        <f>T95+W95+Z95</f>
        <v>0</v>
      </c>
      <c r="AC95" s="286">
        <v>1</v>
      </c>
    </row>
    <row r="96" spans="1:29" s="29" customFormat="1" ht="12.75">
      <c r="A96" s="166" t="s">
        <v>408</v>
      </c>
      <c r="B96" s="166" t="s">
        <v>180</v>
      </c>
      <c r="C96" s="167" t="s">
        <v>23</v>
      </c>
      <c r="D96" s="167" t="s">
        <v>156</v>
      </c>
      <c r="E96" s="168">
        <v>53.3</v>
      </c>
      <c r="F96" s="139">
        <v>8.7</v>
      </c>
      <c r="G96" s="140">
        <f>F96*E96</f>
        <v>463.7099999999999</v>
      </c>
      <c r="H96" s="139">
        <v>5.8</v>
      </c>
      <c r="I96" s="169">
        <f t="shared" si="36"/>
        <v>309.14</v>
      </c>
      <c r="J96" s="170">
        <f>G96+I96</f>
        <v>772.8499999999999</v>
      </c>
      <c r="K96" s="55">
        <v>7.5</v>
      </c>
      <c r="L96" s="118">
        <v>5</v>
      </c>
      <c r="M96" s="123">
        <v>794.17</v>
      </c>
      <c r="N96" s="6">
        <f t="shared" si="34"/>
        <v>772.8499999999999</v>
      </c>
      <c r="O96" s="188">
        <f t="shared" si="35"/>
        <v>21.32000000000005</v>
      </c>
      <c r="P96" s="55"/>
      <c r="Q96" s="55"/>
      <c r="R96" s="55"/>
      <c r="S96" s="230">
        <f>E96*T96</f>
        <v>0</v>
      </c>
      <c r="T96" s="241">
        <v>0</v>
      </c>
      <c r="U96" s="232">
        <f>T96*J96</f>
        <v>0</v>
      </c>
      <c r="V96" s="230">
        <f>W96*E96</f>
        <v>0</v>
      </c>
      <c r="W96" s="231">
        <v>0</v>
      </c>
      <c r="X96" s="232">
        <f>W96*J96</f>
        <v>0</v>
      </c>
      <c r="Y96" s="230">
        <f>Z96*E96</f>
        <v>0</v>
      </c>
      <c r="Z96" s="241">
        <v>0</v>
      </c>
      <c r="AA96" s="232">
        <f>Z96*J96</f>
        <v>0</v>
      </c>
      <c r="AB96" s="274">
        <f>T96+W96+Z96</f>
        <v>0</v>
      </c>
      <c r="AC96" s="286">
        <v>1</v>
      </c>
    </row>
    <row r="97" spans="1:29" ht="25.5">
      <c r="A97" s="136" t="s">
        <v>409</v>
      </c>
      <c r="B97" s="136" t="s">
        <v>181</v>
      </c>
      <c r="C97" s="137" t="s">
        <v>52</v>
      </c>
      <c r="D97" s="137" t="s">
        <v>37</v>
      </c>
      <c r="E97" s="138">
        <v>154.91</v>
      </c>
      <c r="F97" s="139">
        <v>6.45</v>
      </c>
      <c r="G97" s="140">
        <f>F97*E97</f>
        <v>999.1695</v>
      </c>
      <c r="H97" s="139">
        <v>0</v>
      </c>
      <c r="I97" s="141">
        <f>H97*E97</f>
        <v>0</v>
      </c>
      <c r="J97" s="142">
        <f>G97+I97</f>
        <v>999.1695</v>
      </c>
      <c r="K97" s="57">
        <f>0.85*'ORÇAMENTO CRICIUMA FINAL (2)'!F155</f>
        <v>5.559</v>
      </c>
      <c r="L97" s="119"/>
      <c r="M97" s="58">
        <v>1013.1114</v>
      </c>
      <c r="N97" s="6">
        <f t="shared" si="34"/>
        <v>999.1695</v>
      </c>
      <c r="O97" s="188">
        <f t="shared" si="35"/>
        <v>13.941900000000032</v>
      </c>
      <c r="P97" s="5"/>
      <c r="Q97" s="5"/>
      <c r="R97" s="5"/>
      <c r="S97" s="230">
        <f>E97*T97</f>
        <v>0</v>
      </c>
      <c r="T97" s="241">
        <v>0</v>
      </c>
      <c r="U97" s="232">
        <f>T97*J97</f>
        <v>0</v>
      </c>
      <c r="V97" s="230">
        <f>W97*E97</f>
        <v>0</v>
      </c>
      <c r="W97" s="231">
        <v>0</v>
      </c>
      <c r="X97" s="232">
        <f>W97*J97</f>
        <v>0</v>
      </c>
      <c r="Y97" s="230">
        <f>Z97*E97</f>
        <v>0</v>
      </c>
      <c r="Z97" s="241">
        <v>0</v>
      </c>
      <c r="AA97" s="232">
        <f>Z97*J97</f>
        <v>0</v>
      </c>
      <c r="AB97" s="274">
        <f>T97+W97+Z97</f>
        <v>0</v>
      </c>
      <c r="AC97" s="286">
        <v>1</v>
      </c>
    </row>
    <row r="98" spans="1:29" ht="12.75">
      <c r="A98" s="136"/>
      <c r="B98" s="145" t="s">
        <v>466</v>
      </c>
      <c r="C98" s="137"/>
      <c r="D98" s="137"/>
      <c r="E98" s="138"/>
      <c r="F98" s="146"/>
      <c r="G98" s="140"/>
      <c r="H98" s="139">
        <v>0</v>
      </c>
      <c r="I98" s="141"/>
      <c r="J98" s="147">
        <f>SUM(J94:J97)</f>
        <v>2189.6195</v>
      </c>
      <c r="M98" s="122">
        <v>2225.9614</v>
      </c>
      <c r="N98" s="12">
        <f t="shared" si="34"/>
        <v>2189.6195</v>
      </c>
      <c r="O98" s="189">
        <f t="shared" si="35"/>
        <v>36.34190000000035</v>
      </c>
      <c r="P98" s="5"/>
      <c r="Q98" s="5"/>
      <c r="R98" s="5"/>
      <c r="S98" s="5"/>
      <c r="T98" s="5"/>
      <c r="U98" s="236">
        <f>SUM(U94:U97)</f>
        <v>0</v>
      </c>
      <c r="V98" s="5"/>
      <c r="W98" s="5"/>
      <c r="X98" s="236">
        <f>SUM(X94:X97)</f>
        <v>0</v>
      </c>
      <c r="Y98" s="5"/>
      <c r="Z98" s="5"/>
      <c r="AA98" s="236">
        <f>SUM(AA94:AA97)</f>
        <v>0</v>
      </c>
      <c r="AB98" s="273"/>
      <c r="AC98" s="286"/>
    </row>
    <row r="99" spans="1:29" s="8" customFormat="1" ht="12.75">
      <c r="A99" s="131" t="s">
        <v>182</v>
      </c>
      <c r="B99" s="131" t="s">
        <v>183</v>
      </c>
      <c r="C99" s="160"/>
      <c r="D99" s="160"/>
      <c r="E99" s="161"/>
      <c r="F99" s="162"/>
      <c r="G99" s="163"/>
      <c r="H99" s="149"/>
      <c r="I99" s="164"/>
      <c r="J99" s="250">
        <f>(U116+X116)/J116</f>
        <v>0.02537366233579446</v>
      </c>
      <c r="K99" s="165"/>
      <c r="L99" s="165"/>
      <c r="M99" s="165"/>
      <c r="N99" s="165"/>
      <c r="O99" s="165"/>
      <c r="P99" s="165"/>
      <c r="Q99" s="165"/>
      <c r="R99" s="165"/>
      <c r="S99" s="30"/>
      <c r="T99" s="30"/>
      <c r="U99" s="30"/>
      <c r="V99" s="30"/>
      <c r="W99" s="30"/>
      <c r="X99" s="30"/>
      <c r="Y99" s="30"/>
      <c r="Z99" s="30"/>
      <c r="AA99" s="30"/>
      <c r="AB99" s="276"/>
      <c r="AC99" s="288"/>
    </row>
    <row r="100" spans="1:29" s="8" customFormat="1" ht="12.75">
      <c r="A100" s="144" t="s">
        <v>184</v>
      </c>
      <c r="B100" s="144" t="s">
        <v>185</v>
      </c>
      <c r="C100" s="154"/>
      <c r="D100" s="154"/>
      <c r="E100" s="155"/>
      <c r="F100" s="156"/>
      <c r="G100" s="157"/>
      <c r="H100" s="143"/>
      <c r="I100" s="158"/>
      <c r="J100" s="159"/>
      <c r="K100" s="24"/>
      <c r="L100" s="114"/>
      <c r="M100" s="122"/>
      <c r="N100" s="6">
        <f t="shared" si="34"/>
        <v>0</v>
      </c>
      <c r="O100" s="188">
        <f t="shared" si="35"/>
        <v>0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77"/>
      <c r="AC100" s="286"/>
    </row>
    <row r="101" spans="1:29" ht="25.5">
      <c r="A101" s="136" t="s">
        <v>410</v>
      </c>
      <c r="B101" s="136" t="s">
        <v>186</v>
      </c>
      <c r="C101" s="137" t="s">
        <v>23</v>
      </c>
      <c r="D101" s="137" t="s">
        <v>17</v>
      </c>
      <c r="E101" s="138">
        <v>6</v>
      </c>
      <c r="F101" s="139">
        <v>290</v>
      </c>
      <c r="G101" s="140">
        <f>F101*E101</f>
        <v>1740</v>
      </c>
      <c r="H101" s="139">
        <v>40.6</v>
      </c>
      <c r="I101" s="141">
        <f t="shared" si="36"/>
        <v>243.60000000000002</v>
      </c>
      <c r="J101" s="142">
        <f>G101+I101</f>
        <v>1983.6</v>
      </c>
      <c r="K101" s="5">
        <v>250</v>
      </c>
      <c r="L101" s="113">
        <v>35</v>
      </c>
      <c r="M101" s="58">
        <v>1991.7</v>
      </c>
      <c r="N101" s="6">
        <f t="shared" si="34"/>
        <v>1983.6</v>
      </c>
      <c r="O101" s="188">
        <f t="shared" si="35"/>
        <v>8.100000000000136</v>
      </c>
      <c r="P101" s="5"/>
      <c r="Q101" s="5"/>
      <c r="R101" s="5"/>
      <c r="S101" s="230">
        <f aca="true" t="shared" si="37" ref="S101:S115">E101*T101</f>
        <v>0</v>
      </c>
      <c r="T101" s="241">
        <v>0</v>
      </c>
      <c r="U101" s="232">
        <f aca="true" t="shared" si="38" ref="U101:U115">T101*J101</f>
        <v>0</v>
      </c>
      <c r="V101" s="230">
        <f aca="true" t="shared" si="39" ref="V101:V115">W101*E101</f>
        <v>1.5</v>
      </c>
      <c r="W101" s="241">
        <v>0.25</v>
      </c>
      <c r="X101" s="232">
        <f aca="true" t="shared" si="40" ref="X101:X115">W101*J101</f>
        <v>495.9</v>
      </c>
      <c r="Y101" s="230">
        <f aca="true" t="shared" si="41" ref="Y101:Y110">Z101*E101</f>
        <v>0</v>
      </c>
      <c r="Z101" s="241">
        <v>0</v>
      </c>
      <c r="AA101" s="232">
        <f aca="true" t="shared" si="42" ref="AA101:AA110">Z101*J101</f>
        <v>0</v>
      </c>
      <c r="AB101" s="274">
        <f aca="true" t="shared" si="43" ref="AB101:AB110">T101+W101+Z101</f>
        <v>0.25</v>
      </c>
      <c r="AC101" s="286">
        <v>0.75</v>
      </c>
    </row>
    <row r="102" spans="1:29" ht="38.25">
      <c r="A102" s="136" t="s">
        <v>411</v>
      </c>
      <c r="B102" s="136" t="s">
        <v>187</v>
      </c>
      <c r="C102" s="137" t="s">
        <v>23</v>
      </c>
      <c r="D102" s="137" t="s">
        <v>17</v>
      </c>
      <c r="E102" s="138">
        <v>4</v>
      </c>
      <c r="F102" s="139">
        <v>368.88</v>
      </c>
      <c r="G102" s="140">
        <f>F102*E102</f>
        <v>1475.52</v>
      </c>
      <c r="H102" s="139">
        <v>40.6</v>
      </c>
      <c r="I102" s="141">
        <f t="shared" si="36"/>
        <v>162.4</v>
      </c>
      <c r="J102" s="142">
        <f>G102+I102</f>
        <v>1637.92</v>
      </c>
      <c r="K102" s="5">
        <v>318</v>
      </c>
      <c r="L102" s="113">
        <v>35</v>
      </c>
      <c r="M102" s="58">
        <v>1640.28</v>
      </c>
      <c r="N102" s="6">
        <f t="shared" si="34"/>
        <v>1637.92</v>
      </c>
      <c r="O102" s="188">
        <f t="shared" si="35"/>
        <v>2.3599999999999</v>
      </c>
      <c r="P102" s="5"/>
      <c r="Q102" s="5"/>
      <c r="R102" s="5"/>
      <c r="S102" s="230">
        <f t="shared" si="37"/>
        <v>0</v>
      </c>
      <c r="T102" s="241">
        <v>0</v>
      </c>
      <c r="U102" s="232">
        <f t="shared" si="38"/>
        <v>0</v>
      </c>
      <c r="V102" s="230">
        <f t="shared" si="39"/>
        <v>1</v>
      </c>
      <c r="W102" s="241">
        <v>0.25</v>
      </c>
      <c r="X102" s="232">
        <f t="shared" si="40"/>
        <v>409.48</v>
      </c>
      <c r="Y102" s="230">
        <f t="shared" si="41"/>
        <v>0</v>
      </c>
      <c r="Z102" s="241">
        <v>0</v>
      </c>
      <c r="AA102" s="232">
        <f t="shared" si="42"/>
        <v>0</v>
      </c>
      <c r="AB102" s="274">
        <f t="shared" si="43"/>
        <v>0.25</v>
      </c>
      <c r="AC102" s="286">
        <v>0.75</v>
      </c>
    </row>
    <row r="103" spans="1:29" s="8" customFormat="1" ht="12.75">
      <c r="A103" s="144" t="s">
        <v>188</v>
      </c>
      <c r="B103" s="144" t="s">
        <v>189</v>
      </c>
      <c r="C103" s="154"/>
      <c r="D103" s="154"/>
      <c r="E103" s="155"/>
      <c r="F103" s="156"/>
      <c r="G103" s="157"/>
      <c r="H103" s="143"/>
      <c r="I103" s="158"/>
      <c r="J103" s="159"/>
      <c r="K103" s="24"/>
      <c r="L103" s="114"/>
      <c r="M103" s="122"/>
      <c r="N103" s="6">
        <f t="shared" si="34"/>
        <v>0</v>
      </c>
      <c r="O103" s="188">
        <f t="shared" si="35"/>
        <v>0</v>
      </c>
      <c r="P103" s="24"/>
      <c r="Q103" s="24"/>
      <c r="R103" s="24"/>
      <c r="S103" s="242"/>
      <c r="T103" s="242"/>
      <c r="U103" s="242"/>
      <c r="V103" s="230"/>
      <c r="W103" s="231"/>
      <c r="X103" s="232"/>
      <c r="Y103" s="230">
        <f t="shared" si="41"/>
        <v>0</v>
      </c>
      <c r="Z103" s="241">
        <v>0</v>
      </c>
      <c r="AA103" s="232">
        <f t="shared" si="42"/>
        <v>0</v>
      </c>
      <c r="AB103" s="274">
        <f t="shared" si="43"/>
        <v>0</v>
      </c>
      <c r="AC103" s="286">
        <v>1</v>
      </c>
    </row>
    <row r="104" spans="1:29" ht="25.5">
      <c r="A104" s="136" t="s">
        <v>412</v>
      </c>
      <c r="B104" s="136" t="s">
        <v>190</v>
      </c>
      <c r="C104" s="137" t="s">
        <v>23</v>
      </c>
      <c r="D104" s="137" t="s">
        <v>191</v>
      </c>
      <c r="E104" s="138">
        <v>3</v>
      </c>
      <c r="F104" s="139">
        <v>1345.6</v>
      </c>
      <c r="G104" s="140">
        <f>F104*E104</f>
        <v>4036.7999999999997</v>
      </c>
      <c r="H104" s="139">
        <v>0</v>
      </c>
      <c r="I104" s="141">
        <f t="shared" si="36"/>
        <v>0</v>
      </c>
      <c r="J104" s="142">
        <f>G104+I104</f>
        <v>4036.7999999999997</v>
      </c>
      <c r="K104" s="5">
        <v>1160</v>
      </c>
      <c r="M104" s="58">
        <v>4051.02</v>
      </c>
      <c r="N104" s="6">
        <f t="shared" si="34"/>
        <v>4036.7999999999997</v>
      </c>
      <c r="O104" s="188">
        <f t="shared" si="35"/>
        <v>14.220000000000255</v>
      </c>
      <c r="P104" s="5"/>
      <c r="Q104" s="5"/>
      <c r="R104" s="5"/>
      <c r="S104" s="230">
        <f t="shared" si="37"/>
        <v>0</v>
      </c>
      <c r="T104" s="241">
        <v>0</v>
      </c>
      <c r="U104" s="232">
        <f t="shared" si="38"/>
        <v>0</v>
      </c>
      <c r="V104" s="230">
        <f t="shared" si="39"/>
        <v>0</v>
      </c>
      <c r="W104" s="231">
        <v>0</v>
      </c>
      <c r="X104" s="232">
        <f t="shared" si="40"/>
        <v>0</v>
      </c>
      <c r="Y104" s="230">
        <f t="shared" si="41"/>
        <v>0</v>
      </c>
      <c r="Z104" s="241">
        <v>0</v>
      </c>
      <c r="AA104" s="232">
        <f t="shared" si="42"/>
        <v>0</v>
      </c>
      <c r="AB104" s="274">
        <f t="shared" si="43"/>
        <v>0</v>
      </c>
      <c r="AC104" s="286">
        <v>1</v>
      </c>
    </row>
    <row r="105" spans="1:29" s="8" customFormat="1" ht="12.75">
      <c r="A105" s="144" t="s">
        <v>192</v>
      </c>
      <c r="B105" s="144" t="s">
        <v>193</v>
      </c>
      <c r="C105" s="154"/>
      <c r="D105" s="154"/>
      <c r="E105" s="155"/>
      <c r="F105" s="156"/>
      <c r="G105" s="157"/>
      <c r="H105" s="143"/>
      <c r="I105" s="158"/>
      <c r="J105" s="159"/>
      <c r="K105" s="24"/>
      <c r="L105" s="114"/>
      <c r="M105" s="122"/>
      <c r="N105" s="6">
        <f t="shared" si="34"/>
        <v>0</v>
      </c>
      <c r="O105" s="188">
        <f t="shared" si="35"/>
        <v>0</v>
      </c>
      <c r="P105" s="24"/>
      <c r="Q105" s="24"/>
      <c r="R105" s="24"/>
      <c r="S105" s="242"/>
      <c r="T105" s="242"/>
      <c r="U105" s="242"/>
      <c r="V105" s="230"/>
      <c r="W105" s="242"/>
      <c r="X105" s="232"/>
      <c r="Y105" s="230">
        <f t="shared" si="41"/>
        <v>0</v>
      </c>
      <c r="Z105" s="241"/>
      <c r="AA105" s="232">
        <f t="shared" si="42"/>
        <v>0</v>
      </c>
      <c r="AB105" s="274">
        <f t="shared" si="43"/>
        <v>0</v>
      </c>
      <c r="AC105" s="286">
        <v>1</v>
      </c>
    </row>
    <row r="106" spans="1:29" ht="38.25">
      <c r="A106" s="136" t="s">
        <v>413</v>
      </c>
      <c r="B106" s="136" t="s">
        <v>194</v>
      </c>
      <c r="C106" s="137" t="s">
        <v>23</v>
      </c>
      <c r="D106" s="137" t="s">
        <v>17</v>
      </c>
      <c r="E106" s="138">
        <v>1</v>
      </c>
      <c r="F106" s="139">
        <v>1032.4</v>
      </c>
      <c r="G106" s="140">
        <f>F106*E106</f>
        <v>1032.4</v>
      </c>
      <c r="H106" s="139">
        <v>0</v>
      </c>
      <c r="I106" s="141">
        <f t="shared" si="36"/>
        <v>0</v>
      </c>
      <c r="J106" s="142">
        <f>G106+I106</f>
        <v>1032.4</v>
      </c>
      <c r="K106" s="5">
        <v>890</v>
      </c>
      <c r="M106" s="58">
        <v>1037.56</v>
      </c>
      <c r="N106" s="6">
        <f t="shared" si="34"/>
        <v>1032.4</v>
      </c>
      <c r="O106" s="188">
        <f t="shared" si="35"/>
        <v>5.1599999999998545</v>
      </c>
      <c r="P106" s="5"/>
      <c r="Q106" s="5"/>
      <c r="R106" s="5"/>
      <c r="S106" s="230">
        <f t="shared" si="37"/>
        <v>0</v>
      </c>
      <c r="T106" s="241">
        <v>0</v>
      </c>
      <c r="U106" s="232">
        <f t="shared" si="38"/>
        <v>0</v>
      </c>
      <c r="V106" s="230">
        <f t="shared" si="39"/>
        <v>0</v>
      </c>
      <c r="W106" s="231">
        <v>0</v>
      </c>
      <c r="X106" s="232">
        <f t="shared" si="40"/>
        <v>0</v>
      </c>
      <c r="Y106" s="230">
        <f t="shared" si="41"/>
        <v>0</v>
      </c>
      <c r="Z106" s="241">
        <v>0</v>
      </c>
      <c r="AA106" s="232">
        <f t="shared" si="42"/>
        <v>0</v>
      </c>
      <c r="AB106" s="274">
        <f t="shared" si="43"/>
        <v>0</v>
      </c>
      <c r="AC106" s="286">
        <v>1</v>
      </c>
    </row>
    <row r="107" spans="1:29" ht="38.25">
      <c r="A107" s="136" t="s">
        <v>414</v>
      </c>
      <c r="B107" s="136" t="s">
        <v>195</v>
      </c>
      <c r="C107" s="137" t="s">
        <v>23</v>
      </c>
      <c r="D107" s="137" t="s">
        <v>17</v>
      </c>
      <c r="E107" s="138">
        <v>1</v>
      </c>
      <c r="F107" s="139">
        <v>5684</v>
      </c>
      <c r="G107" s="140">
        <f>F107*E107</f>
        <v>5684</v>
      </c>
      <c r="H107" s="139">
        <v>0</v>
      </c>
      <c r="I107" s="141">
        <f t="shared" si="36"/>
        <v>0</v>
      </c>
      <c r="J107" s="142">
        <f>G107+I107</f>
        <v>5684</v>
      </c>
      <c r="K107" s="5">
        <v>4900</v>
      </c>
      <c r="M107" s="58">
        <v>5707.93</v>
      </c>
      <c r="N107" s="6">
        <f t="shared" si="34"/>
        <v>5684</v>
      </c>
      <c r="O107" s="188">
        <f t="shared" si="35"/>
        <v>23.93000000000029</v>
      </c>
      <c r="P107" s="5"/>
      <c r="Q107" s="5"/>
      <c r="R107" s="5"/>
      <c r="S107" s="230">
        <f t="shared" si="37"/>
        <v>0</v>
      </c>
      <c r="T107" s="241">
        <v>0</v>
      </c>
      <c r="U107" s="232">
        <f t="shared" si="38"/>
        <v>0</v>
      </c>
      <c r="V107" s="230">
        <f t="shared" si="39"/>
        <v>0</v>
      </c>
      <c r="W107" s="231">
        <v>0</v>
      </c>
      <c r="X107" s="232">
        <f t="shared" si="40"/>
        <v>0</v>
      </c>
      <c r="Y107" s="230">
        <f t="shared" si="41"/>
        <v>0</v>
      </c>
      <c r="Z107" s="241">
        <v>0</v>
      </c>
      <c r="AA107" s="232">
        <f t="shared" si="42"/>
        <v>0</v>
      </c>
      <c r="AB107" s="274">
        <f t="shared" si="43"/>
        <v>0</v>
      </c>
      <c r="AC107" s="286">
        <v>1</v>
      </c>
    </row>
    <row r="108" spans="1:29" s="8" customFormat="1" ht="12.75">
      <c r="A108" s="144" t="s">
        <v>196</v>
      </c>
      <c r="B108" s="144" t="s">
        <v>197</v>
      </c>
      <c r="C108" s="154"/>
      <c r="D108" s="154"/>
      <c r="E108" s="155"/>
      <c r="F108" s="156"/>
      <c r="G108" s="157"/>
      <c r="H108" s="143"/>
      <c r="I108" s="158"/>
      <c r="J108" s="159"/>
      <c r="K108" s="24"/>
      <c r="L108" s="114"/>
      <c r="M108" s="122"/>
      <c r="N108" s="6">
        <f t="shared" si="34"/>
        <v>0</v>
      </c>
      <c r="O108" s="188">
        <f t="shared" si="35"/>
        <v>0</v>
      </c>
      <c r="P108" s="24"/>
      <c r="Q108" s="24"/>
      <c r="R108" s="24"/>
      <c r="S108" s="242"/>
      <c r="T108" s="242"/>
      <c r="U108" s="242"/>
      <c r="V108" s="230"/>
      <c r="W108" s="242"/>
      <c r="X108" s="232"/>
      <c r="Y108" s="230">
        <f t="shared" si="41"/>
        <v>0</v>
      </c>
      <c r="Z108" s="241"/>
      <c r="AA108" s="232">
        <f t="shared" si="42"/>
        <v>0</v>
      </c>
      <c r="AB108" s="274">
        <f t="shared" si="43"/>
        <v>0</v>
      </c>
      <c r="AC108" s="286">
        <v>1</v>
      </c>
    </row>
    <row r="109" spans="1:29" ht="25.5">
      <c r="A109" s="136" t="s">
        <v>415</v>
      </c>
      <c r="B109" s="136" t="s">
        <v>198</v>
      </c>
      <c r="C109" s="137" t="s">
        <v>23</v>
      </c>
      <c r="D109" s="137" t="s">
        <v>13</v>
      </c>
      <c r="E109" s="138">
        <v>2</v>
      </c>
      <c r="F109" s="139">
        <v>417.6</v>
      </c>
      <c r="G109" s="140">
        <f>F109*E109</f>
        <v>835.2</v>
      </c>
      <c r="H109" s="139">
        <v>0</v>
      </c>
      <c r="I109" s="141">
        <f t="shared" si="36"/>
        <v>0</v>
      </c>
      <c r="J109" s="142">
        <f>G109+I109</f>
        <v>835.2</v>
      </c>
      <c r="K109" s="5">
        <v>360</v>
      </c>
      <c r="M109" s="58">
        <v>845.9</v>
      </c>
      <c r="N109" s="6">
        <f t="shared" si="34"/>
        <v>835.2</v>
      </c>
      <c r="O109" s="188">
        <f t="shared" si="35"/>
        <v>10.699999999999932</v>
      </c>
      <c r="P109" s="5"/>
      <c r="Q109" s="5"/>
      <c r="R109" s="5"/>
      <c r="S109" s="230">
        <f t="shared" si="37"/>
        <v>0</v>
      </c>
      <c r="T109" s="241">
        <v>0</v>
      </c>
      <c r="U109" s="232">
        <f t="shared" si="38"/>
        <v>0</v>
      </c>
      <c r="V109" s="230">
        <f t="shared" si="39"/>
        <v>0</v>
      </c>
      <c r="W109" s="231">
        <v>0</v>
      </c>
      <c r="X109" s="232">
        <f t="shared" si="40"/>
        <v>0</v>
      </c>
      <c r="Y109" s="230">
        <f t="shared" si="41"/>
        <v>0</v>
      </c>
      <c r="Z109" s="241">
        <v>0</v>
      </c>
      <c r="AA109" s="232">
        <f t="shared" si="42"/>
        <v>0</v>
      </c>
      <c r="AB109" s="274">
        <f t="shared" si="43"/>
        <v>0</v>
      </c>
      <c r="AC109" s="286">
        <v>1</v>
      </c>
    </row>
    <row r="110" spans="1:29" ht="25.5">
      <c r="A110" s="136" t="s">
        <v>416</v>
      </c>
      <c r="B110" s="136" t="s">
        <v>199</v>
      </c>
      <c r="C110" s="137" t="s">
        <v>23</v>
      </c>
      <c r="D110" s="137" t="s">
        <v>13</v>
      </c>
      <c r="E110" s="138">
        <v>41.6</v>
      </c>
      <c r="F110" s="139">
        <v>483.72</v>
      </c>
      <c r="G110" s="140">
        <f>F110*E110</f>
        <v>20122.752</v>
      </c>
      <c r="H110" s="139">
        <v>0</v>
      </c>
      <c r="I110" s="141">
        <f t="shared" si="36"/>
        <v>0</v>
      </c>
      <c r="J110" s="142">
        <f>G110+I110</f>
        <v>20122.752</v>
      </c>
      <c r="K110" s="5">
        <v>417</v>
      </c>
      <c r="M110" s="58">
        <v>20123.584000000003</v>
      </c>
      <c r="N110" s="6">
        <f t="shared" si="34"/>
        <v>20122.752</v>
      </c>
      <c r="O110" s="188">
        <f t="shared" si="35"/>
        <v>0.8320000000021537</v>
      </c>
      <c r="P110" s="5"/>
      <c r="Q110" s="5"/>
      <c r="R110" s="5"/>
      <c r="S110" s="230">
        <f t="shared" si="37"/>
        <v>0</v>
      </c>
      <c r="T110" s="241">
        <v>0</v>
      </c>
      <c r="U110" s="232">
        <f t="shared" si="38"/>
        <v>0</v>
      </c>
      <c r="V110" s="230">
        <f t="shared" si="39"/>
        <v>0</v>
      </c>
      <c r="W110" s="231">
        <v>0</v>
      </c>
      <c r="X110" s="232">
        <f t="shared" si="40"/>
        <v>0</v>
      </c>
      <c r="Y110" s="230">
        <f t="shared" si="41"/>
        <v>0</v>
      </c>
      <c r="Z110" s="241">
        <v>0</v>
      </c>
      <c r="AA110" s="232">
        <f t="shared" si="42"/>
        <v>0</v>
      </c>
      <c r="AB110" s="274">
        <f t="shared" si="43"/>
        <v>0</v>
      </c>
      <c r="AC110" s="286">
        <v>1</v>
      </c>
    </row>
    <row r="111" spans="1:29" s="8" customFormat="1" ht="12.75">
      <c r="A111" s="144" t="s">
        <v>200</v>
      </c>
      <c r="B111" s="144" t="s">
        <v>201</v>
      </c>
      <c r="C111" s="154"/>
      <c r="D111" s="154"/>
      <c r="E111" s="155"/>
      <c r="F111" s="156"/>
      <c r="G111" s="157"/>
      <c r="H111" s="143"/>
      <c r="I111" s="158"/>
      <c r="J111" s="159"/>
      <c r="K111" s="24"/>
      <c r="L111" s="114"/>
      <c r="M111" s="122"/>
      <c r="N111" s="6">
        <f t="shared" si="34"/>
        <v>0</v>
      </c>
      <c r="O111" s="188">
        <f t="shared" si="35"/>
        <v>0</v>
      </c>
      <c r="P111" s="24"/>
      <c r="Q111" s="24"/>
      <c r="R111" s="24"/>
      <c r="S111" s="242"/>
      <c r="T111" s="242"/>
      <c r="U111" s="242"/>
      <c r="V111" s="230"/>
      <c r="W111" s="242"/>
      <c r="X111" s="232"/>
      <c r="Y111" s="230"/>
      <c r="Z111" s="256"/>
      <c r="AA111" s="232"/>
      <c r="AB111" s="275"/>
      <c r="AC111" s="286"/>
    </row>
    <row r="112" spans="1:29" ht="25.5">
      <c r="A112" s="136" t="s">
        <v>417</v>
      </c>
      <c r="B112" s="136" t="s">
        <v>202</v>
      </c>
      <c r="C112" s="137" t="s">
        <v>23</v>
      </c>
      <c r="D112" s="137" t="s">
        <v>13</v>
      </c>
      <c r="E112" s="138">
        <v>8.55</v>
      </c>
      <c r="F112" s="139">
        <v>1.16</v>
      </c>
      <c r="G112" s="140">
        <f>F112*E112</f>
        <v>9.918</v>
      </c>
      <c r="H112" s="139">
        <v>1.22</v>
      </c>
      <c r="I112" s="141">
        <f t="shared" si="36"/>
        <v>10.431000000000001</v>
      </c>
      <c r="J112" s="142">
        <f>G112+I112</f>
        <v>20.349</v>
      </c>
      <c r="K112" s="5">
        <v>1</v>
      </c>
      <c r="L112" s="113">
        <v>1.05</v>
      </c>
      <c r="M112" s="58">
        <v>20.6055</v>
      </c>
      <c r="N112" s="6">
        <f t="shared" si="34"/>
        <v>20.349</v>
      </c>
      <c r="O112" s="188">
        <f t="shared" si="35"/>
        <v>0.25649999999999906</v>
      </c>
      <c r="P112" s="5"/>
      <c r="Q112" s="5"/>
      <c r="R112" s="5"/>
      <c r="S112" s="230">
        <f t="shared" si="37"/>
        <v>0</v>
      </c>
      <c r="T112" s="241">
        <v>0</v>
      </c>
      <c r="U112" s="232">
        <f t="shared" si="38"/>
        <v>0</v>
      </c>
      <c r="V112" s="230">
        <f t="shared" si="39"/>
        <v>0</v>
      </c>
      <c r="W112" s="231">
        <v>0</v>
      </c>
      <c r="X112" s="232">
        <f t="shared" si="40"/>
        <v>0</v>
      </c>
      <c r="Y112" s="230">
        <f>Z112*E112</f>
        <v>0</v>
      </c>
      <c r="Z112" s="241">
        <v>0</v>
      </c>
      <c r="AA112" s="232">
        <f>Z112*J112</f>
        <v>0</v>
      </c>
      <c r="AB112" s="274">
        <f>T112+W112+Z112</f>
        <v>0</v>
      </c>
      <c r="AC112" s="286">
        <v>1</v>
      </c>
    </row>
    <row r="113" spans="1:29" s="8" customFormat="1" ht="12.75">
      <c r="A113" s="144" t="s">
        <v>203</v>
      </c>
      <c r="B113" s="144" t="s">
        <v>204</v>
      </c>
      <c r="C113" s="154"/>
      <c r="D113" s="154"/>
      <c r="E113" s="155"/>
      <c r="F113" s="156"/>
      <c r="G113" s="157"/>
      <c r="H113" s="143"/>
      <c r="I113" s="158"/>
      <c r="J113" s="159"/>
      <c r="K113" s="24"/>
      <c r="L113" s="114"/>
      <c r="M113" s="122"/>
      <c r="N113" s="6">
        <f t="shared" si="34"/>
        <v>0</v>
      </c>
      <c r="O113" s="188">
        <f t="shared" si="35"/>
        <v>0</v>
      </c>
      <c r="P113" s="24"/>
      <c r="Q113" s="24"/>
      <c r="R113" s="24"/>
      <c r="S113" s="242"/>
      <c r="T113" s="242"/>
      <c r="U113" s="242"/>
      <c r="V113" s="230"/>
      <c r="W113" s="242"/>
      <c r="X113" s="232"/>
      <c r="Y113" s="230"/>
      <c r="Z113" s="242"/>
      <c r="AA113" s="232"/>
      <c r="AB113" s="275"/>
      <c r="AC113" s="286"/>
    </row>
    <row r="114" spans="1:29" ht="12.75">
      <c r="A114" s="136" t="s">
        <v>418</v>
      </c>
      <c r="B114" s="136" t="s">
        <v>205</v>
      </c>
      <c r="C114" s="137" t="s">
        <v>52</v>
      </c>
      <c r="D114" s="137" t="s">
        <v>17</v>
      </c>
      <c r="E114" s="138">
        <v>1</v>
      </c>
      <c r="F114" s="139">
        <v>147.9</v>
      </c>
      <c r="G114" s="140">
        <f>F114*E114</f>
        <v>147.9</v>
      </c>
      <c r="H114" s="139">
        <v>0</v>
      </c>
      <c r="I114" s="141">
        <f t="shared" si="36"/>
        <v>0</v>
      </c>
      <c r="J114" s="142">
        <f>G114+I114</f>
        <v>147.9</v>
      </c>
      <c r="K114" s="57">
        <f>0.85*'ORÇAMENTO CRICIUMA FINAL (2)'!F172</f>
        <v>127.5</v>
      </c>
      <c r="L114" s="120"/>
      <c r="M114" s="58">
        <v>150</v>
      </c>
      <c r="N114" s="6">
        <f t="shared" si="34"/>
        <v>147.9</v>
      </c>
      <c r="O114" s="188">
        <f t="shared" si="35"/>
        <v>2.0999999999999943</v>
      </c>
      <c r="P114" s="5"/>
      <c r="Q114" s="5"/>
      <c r="R114" s="5"/>
      <c r="S114" s="230">
        <f t="shared" si="37"/>
        <v>0</v>
      </c>
      <c r="T114" s="241">
        <v>0</v>
      </c>
      <c r="U114" s="232">
        <f t="shared" si="38"/>
        <v>0</v>
      </c>
      <c r="V114" s="230">
        <f t="shared" si="39"/>
        <v>0</v>
      </c>
      <c r="W114" s="231">
        <v>0</v>
      </c>
      <c r="X114" s="232">
        <f t="shared" si="40"/>
        <v>0</v>
      </c>
      <c r="Y114" s="230">
        <f>Z114*E114</f>
        <v>0</v>
      </c>
      <c r="Z114" s="241">
        <v>0</v>
      </c>
      <c r="AA114" s="232">
        <f>Z114*J114</f>
        <v>0</v>
      </c>
      <c r="AB114" s="274">
        <f>T114+W114+Z114</f>
        <v>0</v>
      </c>
      <c r="AC114" s="286">
        <v>1</v>
      </c>
    </row>
    <row r="115" spans="1:29" ht="12.75">
      <c r="A115" s="136" t="s">
        <v>419</v>
      </c>
      <c r="B115" s="136" t="s">
        <v>206</v>
      </c>
      <c r="C115" s="137" t="s">
        <v>23</v>
      </c>
      <c r="D115" s="137" t="s">
        <v>17</v>
      </c>
      <c r="E115" s="138">
        <v>1</v>
      </c>
      <c r="F115" s="139">
        <v>145</v>
      </c>
      <c r="G115" s="140">
        <f>F115*E115</f>
        <v>145</v>
      </c>
      <c r="H115" s="139">
        <v>35.96</v>
      </c>
      <c r="I115" s="141">
        <f t="shared" si="36"/>
        <v>35.96</v>
      </c>
      <c r="J115" s="142">
        <f>G115+I115</f>
        <v>180.96</v>
      </c>
      <c r="K115" s="57">
        <v>125</v>
      </c>
      <c r="L115" s="117">
        <v>31</v>
      </c>
      <c r="M115" s="58">
        <v>183.05</v>
      </c>
      <c r="N115" s="6">
        <f t="shared" si="34"/>
        <v>180.96</v>
      </c>
      <c r="O115" s="188">
        <f t="shared" si="35"/>
        <v>2.0900000000000034</v>
      </c>
      <c r="P115" s="5"/>
      <c r="Q115" s="5"/>
      <c r="R115" s="5"/>
      <c r="S115" s="230">
        <f t="shared" si="37"/>
        <v>0</v>
      </c>
      <c r="T115" s="241">
        <v>0</v>
      </c>
      <c r="U115" s="232">
        <f t="shared" si="38"/>
        <v>0</v>
      </c>
      <c r="V115" s="230">
        <f t="shared" si="39"/>
        <v>0</v>
      </c>
      <c r="W115" s="231">
        <v>0</v>
      </c>
      <c r="X115" s="232">
        <f t="shared" si="40"/>
        <v>0</v>
      </c>
      <c r="Y115" s="230">
        <f>Z115*E115</f>
        <v>0</v>
      </c>
      <c r="Z115" s="241">
        <v>0</v>
      </c>
      <c r="AA115" s="232">
        <f>Z115*J115</f>
        <v>0</v>
      </c>
      <c r="AB115" s="274">
        <f>T115+W115+Z115</f>
        <v>0</v>
      </c>
      <c r="AC115" s="286">
        <v>1</v>
      </c>
    </row>
    <row r="116" spans="1:29" ht="12.75">
      <c r="A116" s="136"/>
      <c r="B116" s="145" t="s">
        <v>466</v>
      </c>
      <c r="C116" s="137"/>
      <c r="D116" s="137"/>
      <c r="E116" s="138"/>
      <c r="F116" s="146"/>
      <c r="G116" s="140"/>
      <c r="H116" s="139">
        <v>0</v>
      </c>
      <c r="I116" s="141"/>
      <c r="J116" s="147">
        <f>SUM(J101:J115)</f>
        <v>35681.881</v>
      </c>
      <c r="M116" s="122">
        <v>35751.6295</v>
      </c>
      <c r="N116" s="12">
        <f t="shared" si="34"/>
        <v>35681.881</v>
      </c>
      <c r="O116" s="189">
        <f t="shared" si="35"/>
        <v>69.74850000000151</v>
      </c>
      <c r="P116" s="5"/>
      <c r="Q116" s="5"/>
      <c r="R116" s="5"/>
      <c r="S116" s="5"/>
      <c r="T116" s="5"/>
      <c r="U116" s="236">
        <f>SUM(U101:U115)</f>
        <v>0</v>
      </c>
      <c r="V116" s="5"/>
      <c r="W116" s="5"/>
      <c r="X116" s="236">
        <f>SUM(X101:X115)</f>
        <v>905.38</v>
      </c>
      <c r="Y116" s="5"/>
      <c r="Z116" s="5"/>
      <c r="AA116" s="236">
        <f>SUM(AA101:AA115)</f>
        <v>0</v>
      </c>
      <c r="AB116" s="273"/>
      <c r="AC116" s="286"/>
    </row>
    <row r="117" spans="1:29" s="8" customFormat="1" ht="12.75">
      <c r="A117" s="131" t="s">
        <v>207</v>
      </c>
      <c r="B117" s="131" t="s">
        <v>208</v>
      </c>
      <c r="C117" s="160"/>
      <c r="D117" s="160"/>
      <c r="E117" s="161"/>
      <c r="F117" s="162"/>
      <c r="G117" s="163"/>
      <c r="H117" s="149"/>
      <c r="I117" s="164"/>
      <c r="J117" s="250">
        <f>(U123+X123)/J123</f>
        <v>0</v>
      </c>
      <c r="K117" s="165"/>
      <c r="L117" s="165"/>
      <c r="M117" s="165"/>
      <c r="N117" s="165"/>
      <c r="O117" s="165"/>
      <c r="P117" s="165"/>
      <c r="Q117" s="165"/>
      <c r="R117" s="165"/>
      <c r="S117" s="30"/>
      <c r="T117" s="30"/>
      <c r="U117" s="30"/>
      <c r="V117" s="30"/>
      <c r="W117" s="30"/>
      <c r="X117" s="30"/>
      <c r="Y117" s="30"/>
      <c r="Z117" s="30"/>
      <c r="AA117" s="30"/>
      <c r="AB117" s="276"/>
      <c r="AC117" s="288"/>
    </row>
    <row r="118" spans="1:29" s="8" customFormat="1" ht="12.75">
      <c r="A118" s="144" t="s">
        <v>209</v>
      </c>
      <c r="B118" s="144" t="s">
        <v>210</v>
      </c>
      <c r="C118" s="154"/>
      <c r="D118" s="154"/>
      <c r="E118" s="155"/>
      <c r="F118" s="156"/>
      <c r="G118" s="157"/>
      <c r="H118" s="143"/>
      <c r="I118" s="158"/>
      <c r="J118" s="159"/>
      <c r="K118" s="24"/>
      <c r="L118" s="114"/>
      <c r="M118" s="122"/>
      <c r="N118" s="6">
        <f t="shared" si="34"/>
        <v>0</v>
      </c>
      <c r="O118" s="188">
        <f t="shared" si="35"/>
        <v>0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77"/>
      <c r="AC118" s="286"/>
    </row>
    <row r="119" spans="1:29" ht="12.75">
      <c r="A119" s="136" t="s">
        <v>420</v>
      </c>
      <c r="B119" s="136" t="s">
        <v>211</v>
      </c>
      <c r="C119" s="137" t="s">
        <v>52</v>
      </c>
      <c r="D119" s="137" t="s">
        <v>13</v>
      </c>
      <c r="E119" s="138">
        <v>17.1</v>
      </c>
      <c r="F119" s="139">
        <v>96.86</v>
      </c>
      <c r="G119" s="140">
        <f>F119*E119</f>
        <v>1656.306</v>
      </c>
      <c r="H119" s="139">
        <v>0</v>
      </c>
      <c r="I119" s="141">
        <f t="shared" si="36"/>
        <v>0</v>
      </c>
      <c r="J119" s="142">
        <f>G119+I119</f>
        <v>1656.306</v>
      </c>
      <c r="K119" s="5">
        <v>83.5</v>
      </c>
      <c r="M119" s="58">
        <v>1669.473</v>
      </c>
      <c r="N119" s="6">
        <f t="shared" si="34"/>
        <v>1656.306</v>
      </c>
      <c r="O119" s="188">
        <f t="shared" si="35"/>
        <v>13.166999999999916</v>
      </c>
      <c r="P119" s="5"/>
      <c r="Q119" s="5"/>
      <c r="R119" s="5"/>
      <c r="S119" s="230">
        <f>E119*T119</f>
        <v>0</v>
      </c>
      <c r="T119" s="241">
        <v>0</v>
      </c>
      <c r="U119" s="232">
        <f>T119*J119</f>
        <v>0</v>
      </c>
      <c r="V119" s="230">
        <f>W119*E119</f>
        <v>0</v>
      </c>
      <c r="W119" s="231">
        <v>0</v>
      </c>
      <c r="X119" s="232">
        <f>W119*J119</f>
        <v>0</v>
      </c>
      <c r="Y119" s="230">
        <f>Z119*E119</f>
        <v>0</v>
      </c>
      <c r="Z119" s="241">
        <v>0</v>
      </c>
      <c r="AA119" s="232">
        <f>Z119*J119</f>
        <v>0</v>
      </c>
      <c r="AB119" s="274">
        <f>T119+W119+Z119</f>
        <v>0</v>
      </c>
      <c r="AC119" s="286">
        <v>1</v>
      </c>
    </row>
    <row r="120" spans="1:29" s="8" customFormat="1" ht="12.75">
      <c r="A120" s="144" t="s">
        <v>212</v>
      </c>
      <c r="B120" s="144" t="s">
        <v>213</v>
      </c>
      <c r="C120" s="154"/>
      <c r="D120" s="154"/>
      <c r="E120" s="155"/>
      <c r="F120" s="156"/>
      <c r="G120" s="157"/>
      <c r="H120" s="143"/>
      <c r="I120" s="158"/>
      <c r="J120" s="159"/>
      <c r="K120" s="24"/>
      <c r="L120" s="114"/>
      <c r="M120" s="122"/>
      <c r="N120" s="6">
        <f t="shared" si="34"/>
        <v>0</v>
      </c>
      <c r="O120" s="188">
        <f t="shared" si="35"/>
        <v>0</v>
      </c>
      <c r="P120" s="24"/>
      <c r="Q120" s="24"/>
      <c r="R120" s="24"/>
      <c r="S120" s="242"/>
      <c r="T120" s="242"/>
      <c r="U120" s="242"/>
      <c r="V120" s="230"/>
      <c r="W120" s="231"/>
      <c r="X120" s="232"/>
      <c r="Y120" s="230"/>
      <c r="Z120" s="241"/>
      <c r="AA120" s="232"/>
      <c r="AB120" s="275"/>
      <c r="AC120" s="286"/>
    </row>
    <row r="121" spans="1:29" ht="12.75">
      <c r="A121" s="136" t="s">
        <v>421</v>
      </c>
      <c r="B121" s="136" t="s">
        <v>214</v>
      </c>
      <c r="C121" s="137" t="s">
        <v>52</v>
      </c>
      <c r="D121" s="137" t="s">
        <v>13</v>
      </c>
      <c r="E121" s="138">
        <v>2.4</v>
      </c>
      <c r="F121" s="139">
        <v>85.84</v>
      </c>
      <c r="G121" s="140">
        <f>F121*E121</f>
        <v>206.016</v>
      </c>
      <c r="H121" s="139">
        <v>0</v>
      </c>
      <c r="I121" s="141">
        <f t="shared" si="36"/>
        <v>0</v>
      </c>
      <c r="J121" s="142">
        <f>G121+I121</f>
        <v>206.016</v>
      </c>
      <c r="K121" s="5">
        <v>74</v>
      </c>
      <c r="M121" s="58">
        <v>207.696</v>
      </c>
      <c r="N121" s="6">
        <f t="shared" si="34"/>
        <v>206.016</v>
      </c>
      <c r="O121" s="188">
        <f t="shared" si="35"/>
        <v>1.6800000000000068</v>
      </c>
      <c r="P121" s="5"/>
      <c r="Q121" s="5"/>
      <c r="R121" s="5"/>
      <c r="S121" s="230">
        <f>E121*T121</f>
        <v>0</v>
      </c>
      <c r="T121" s="241">
        <v>0</v>
      </c>
      <c r="U121" s="232">
        <f>T121*J121</f>
        <v>0</v>
      </c>
      <c r="V121" s="230">
        <f>W121*E121</f>
        <v>0</v>
      </c>
      <c r="W121" s="231">
        <v>0</v>
      </c>
      <c r="X121" s="232">
        <f>W121*J121</f>
        <v>0</v>
      </c>
      <c r="Y121" s="230">
        <f>Z121*E121</f>
        <v>0</v>
      </c>
      <c r="Z121" s="241">
        <v>0</v>
      </c>
      <c r="AA121" s="232">
        <f>Z121*J121</f>
        <v>0</v>
      </c>
      <c r="AB121" s="274">
        <f>T121+W121+Z121</f>
        <v>0</v>
      </c>
      <c r="AC121" s="286">
        <v>1</v>
      </c>
    </row>
    <row r="122" spans="1:29" ht="12.75">
      <c r="A122" s="136" t="s">
        <v>422</v>
      </c>
      <c r="B122" s="136" t="s">
        <v>215</v>
      </c>
      <c r="C122" s="137" t="s">
        <v>52</v>
      </c>
      <c r="D122" s="137" t="s">
        <v>13</v>
      </c>
      <c r="E122" s="138">
        <v>0.48</v>
      </c>
      <c r="F122" s="139">
        <v>119.48</v>
      </c>
      <c r="G122" s="140">
        <f>F122*E122</f>
        <v>57.3504</v>
      </c>
      <c r="H122" s="139">
        <v>0</v>
      </c>
      <c r="I122" s="141">
        <f t="shared" si="36"/>
        <v>0</v>
      </c>
      <c r="J122" s="142">
        <f>G122+I122</f>
        <v>57.3504</v>
      </c>
      <c r="K122" s="5">
        <v>103</v>
      </c>
      <c r="M122" s="58">
        <v>57.4848</v>
      </c>
      <c r="N122" s="6">
        <f t="shared" si="34"/>
        <v>57.3504</v>
      </c>
      <c r="O122" s="188">
        <f t="shared" si="35"/>
        <v>0.1343999999999994</v>
      </c>
      <c r="P122" s="5"/>
      <c r="Q122" s="5"/>
      <c r="R122" s="5"/>
      <c r="S122" s="230">
        <f>E122*T122</f>
        <v>0</v>
      </c>
      <c r="T122" s="241">
        <v>0</v>
      </c>
      <c r="U122" s="232">
        <f>T122*J122</f>
        <v>0</v>
      </c>
      <c r="V122" s="230">
        <f>W122*E122</f>
        <v>0</v>
      </c>
      <c r="W122" s="231">
        <v>0</v>
      </c>
      <c r="X122" s="232">
        <f>W122*J122</f>
        <v>0</v>
      </c>
      <c r="Y122" s="230">
        <f>Z122*E122</f>
        <v>0</v>
      </c>
      <c r="Z122" s="241">
        <v>0</v>
      </c>
      <c r="AA122" s="232">
        <f>Z122*J122</f>
        <v>0</v>
      </c>
      <c r="AB122" s="274">
        <f>T122+W122+Z122</f>
        <v>0</v>
      </c>
      <c r="AC122" s="286">
        <v>1</v>
      </c>
    </row>
    <row r="123" spans="1:29" ht="12.75">
      <c r="A123" s="136"/>
      <c r="B123" s="145" t="s">
        <v>466</v>
      </c>
      <c r="C123" s="137"/>
      <c r="D123" s="137"/>
      <c r="E123" s="138"/>
      <c r="F123" s="146"/>
      <c r="G123" s="140"/>
      <c r="H123" s="139">
        <v>0</v>
      </c>
      <c r="I123" s="141"/>
      <c r="J123" s="147">
        <f>SUM(J119:J122)</f>
        <v>1919.6724000000002</v>
      </c>
      <c r="M123" s="122">
        <v>1934.6537999999998</v>
      </c>
      <c r="N123" s="12">
        <f t="shared" si="34"/>
        <v>1919.6724000000002</v>
      </c>
      <c r="O123" s="189">
        <f t="shared" si="35"/>
        <v>14.981399999999667</v>
      </c>
      <c r="P123" s="5"/>
      <c r="Q123" s="5"/>
      <c r="R123" s="5"/>
      <c r="S123" s="5"/>
      <c r="T123" s="5"/>
      <c r="U123" s="236">
        <f>SUM(U119:U122)</f>
        <v>0</v>
      </c>
      <c r="V123" s="5"/>
      <c r="W123" s="5"/>
      <c r="X123" s="236">
        <f>SUM(X119:X122)</f>
        <v>0</v>
      </c>
      <c r="Y123" s="5"/>
      <c r="Z123" s="5"/>
      <c r="AA123" s="236">
        <f>SUM(AA119:AA122)</f>
        <v>0</v>
      </c>
      <c r="AB123" s="273"/>
      <c r="AC123" s="286"/>
    </row>
    <row r="124" spans="1:29" s="8" customFormat="1" ht="12.75">
      <c r="A124" s="131" t="s">
        <v>216</v>
      </c>
      <c r="B124" s="131" t="s">
        <v>217</v>
      </c>
      <c r="C124" s="160"/>
      <c r="D124" s="160"/>
      <c r="E124" s="161"/>
      <c r="F124" s="162"/>
      <c r="G124" s="163"/>
      <c r="H124" s="149"/>
      <c r="I124" s="164"/>
      <c r="J124" s="250">
        <f>(U127+X127)/J127</f>
        <v>0</v>
      </c>
      <c r="K124" s="165"/>
      <c r="L124" s="165"/>
      <c r="M124" s="165"/>
      <c r="N124" s="165"/>
      <c r="O124" s="165"/>
      <c r="P124" s="165"/>
      <c r="Q124" s="165"/>
      <c r="R124" s="165"/>
      <c r="S124" s="30"/>
      <c r="T124" s="30"/>
      <c r="U124" s="30"/>
      <c r="V124" s="30"/>
      <c r="W124" s="30"/>
      <c r="X124" s="30"/>
      <c r="Y124" s="30"/>
      <c r="Z124" s="30"/>
      <c r="AA124" s="30"/>
      <c r="AB124" s="276"/>
      <c r="AC124" s="288"/>
    </row>
    <row r="125" spans="1:29" s="8" customFormat="1" ht="12.75">
      <c r="A125" s="144" t="s">
        <v>218</v>
      </c>
      <c r="B125" s="144" t="s">
        <v>219</v>
      </c>
      <c r="C125" s="154"/>
      <c r="D125" s="154"/>
      <c r="E125" s="155"/>
      <c r="F125" s="156"/>
      <c r="G125" s="157"/>
      <c r="H125" s="139">
        <v>0</v>
      </c>
      <c r="I125" s="158"/>
      <c r="J125" s="159"/>
      <c r="K125" s="24"/>
      <c r="L125" s="114"/>
      <c r="M125" s="122"/>
      <c r="N125" s="6">
        <f t="shared" si="34"/>
        <v>0</v>
      </c>
      <c r="O125" s="188">
        <f t="shared" si="35"/>
        <v>0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77"/>
      <c r="AC125" s="286"/>
    </row>
    <row r="126" spans="1:29" ht="25.5">
      <c r="A126" s="136" t="s">
        <v>423</v>
      </c>
      <c r="B126" s="136" t="s">
        <v>220</v>
      </c>
      <c r="C126" s="137" t="s">
        <v>52</v>
      </c>
      <c r="D126" s="137" t="s">
        <v>13</v>
      </c>
      <c r="E126" s="138">
        <v>43.6</v>
      </c>
      <c r="F126" s="139">
        <v>140.36</v>
      </c>
      <c r="G126" s="140">
        <f>F126*E126</f>
        <v>6119.696000000001</v>
      </c>
      <c r="H126" s="139">
        <v>0</v>
      </c>
      <c r="I126" s="141">
        <f t="shared" si="36"/>
        <v>0</v>
      </c>
      <c r="J126" s="142">
        <f>G126+I126</f>
        <v>6119.696000000001</v>
      </c>
      <c r="K126" s="5">
        <v>121</v>
      </c>
      <c r="M126" s="58">
        <v>6124.0560000000005</v>
      </c>
      <c r="N126" s="6">
        <f t="shared" si="34"/>
        <v>6119.696000000001</v>
      </c>
      <c r="O126" s="188">
        <f t="shared" si="35"/>
        <v>4.359999999999673</v>
      </c>
      <c r="P126" s="5"/>
      <c r="Q126" s="5"/>
      <c r="R126" s="5"/>
      <c r="S126" s="230">
        <f>E126*T126</f>
        <v>0</v>
      </c>
      <c r="T126" s="241">
        <v>0</v>
      </c>
      <c r="U126" s="232">
        <f>T126*J126</f>
        <v>0</v>
      </c>
      <c r="V126" s="230">
        <f>W126*E126</f>
        <v>0</v>
      </c>
      <c r="W126" s="231">
        <v>0</v>
      </c>
      <c r="X126" s="232">
        <f>W126*J126</f>
        <v>0</v>
      </c>
      <c r="Y126" s="230">
        <f>Z126*E126</f>
        <v>0</v>
      </c>
      <c r="Z126" s="241">
        <v>0</v>
      </c>
      <c r="AA126" s="232">
        <f>Z126*J126</f>
        <v>0</v>
      </c>
      <c r="AB126" s="274">
        <f>T126+W126+Z126</f>
        <v>0</v>
      </c>
      <c r="AC126" s="286">
        <v>1</v>
      </c>
    </row>
    <row r="127" spans="1:29" ht="12.75">
      <c r="A127" s="136"/>
      <c r="B127" s="145" t="s">
        <v>466</v>
      </c>
      <c r="C127" s="137"/>
      <c r="D127" s="137"/>
      <c r="E127" s="138"/>
      <c r="F127" s="146"/>
      <c r="G127" s="140"/>
      <c r="H127" s="143"/>
      <c r="I127" s="141"/>
      <c r="J127" s="147">
        <f>SUM(J126)</f>
        <v>6119.696000000001</v>
      </c>
      <c r="M127" s="122">
        <v>6124.0560000000005</v>
      </c>
      <c r="N127" s="12">
        <f t="shared" si="34"/>
        <v>6119.696000000001</v>
      </c>
      <c r="O127" s="189">
        <f t="shared" si="35"/>
        <v>4.359999999999673</v>
      </c>
      <c r="P127" s="5"/>
      <c r="Q127" s="5"/>
      <c r="R127" s="5"/>
      <c r="S127" s="5"/>
      <c r="T127" s="5"/>
      <c r="U127" s="236">
        <f>SUM(U126)</f>
        <v>0</v>
      </c>
      <c r="V127" s="5"/>
      <c r="W127" s="5"/>
      <c r="X127" s="236">
        <f>SUM(X126)</f>
        <v>0</v>
      </c>
      <c r="Y127" s="5"/>
      <c r="Z127" s="5"/>
      <c r="AA127" s="236">
        <f>SUM(AA126)</f>
        <v>0</v>
      </c>
      <c r="AB127" s="273"/>
      <c r="AC127" s="286"/>
    </row>
    <row r="128" spans="1:29" s="8" customFormat="1" ht="12.75">
      <c r="A128" s="131" t="s">
        <v>221</v>
      </c>
      <c r="B128" s="131" t="s">
        <v>222</v>
      </c>
      <c r="C128" s="160"/>
      <c r="D128" s="160"/>
      <c r="E128" s="161"/>
      <c r="F128" s="162"/>
      <c r="G128" s="163"/>
      <c r="H128" s="149"/>
      <c r="I128" s="164"/>
      <c r="J128" s="250">
        <f>(U131+X131)/J131</f>
        <v>0</v>
      </c>
      <c r="K128" s="165"/>
      <c r="L128" s="165"/>
      <c r="M128" s="165"/>
      <c r="N128" s="165"/>
      <c r="O128" s="165"/>
      <c r="P128" s="165"/>
      <c r="Q128" s="165"/>
      <c r="R128" s="165"/>
      <c r="S128" s="30"/>
      <c r="T128" s="30"/>
      <c r="U128" s="30"/>
      <c r="V128" s="30"/>
      <c r="W128" s="30"/>
      <c r="X128" s="30"/>
      <c r="Y128" s="30"/>
      <c r="Z128" s="30"/>
      <c r="AA128" s="30"/>
      <c r="AB128" s="276"/>
      <c r="AC128" s="288"/>
    </row>
    <row r="129" spans="1:29" s="8" customFormat="1" ht="12.75">
      <c r="A129" s="144" t="s">
        <v>223</v>
      </c>
      <c r="B129" s="144" t="s">
        <v>224</v>
      </c>
      <c r="C129" s="154"/>
      <c r="D129" s="154"/>
      <c r="E129" s="155"/>
      <c r="F129" s="156"/>
      <c r="G129" s="157"/>
      <c r="H129" s="139">
        <v>0</v>
      </c>
      <c r="I129" s="158"/>
      <c r="J129" s="159"/>
      <c r="K129" s="24"/>
      <c r="L129" s="114"/>
      <c r="M129" s="122"/>
      <c r="N129" s="6">
        <f t="shared" si="34"/>
        <v>0</v>
      </c>
      <c r="O129" s="188">
        <f t="shared" si="35"/>
        <v>0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77"/>
      <c r="AC129" s="286"/>
    </row>
    <row r="130" spans="1:29" ht="25.5">
      <c r="A130" s="136" t="s">
        <v>424</v>
      </c>
      <c r="B130" s="136" t="s">
        <v>225</v>
      </c>
      <c r="C130" s="137" t="s">
        <v>23</v>
      </c>
      <c r="D130" s="137" t="s">
        <v>13</v>
      </c>
      <c r="E130" s="138">
        <v>345.89</v>
      </c>
      <c r="F130" s="139">
        <v>39.21</v>
      </c>
      <c r="G130" s="140">
        <f>F130*E130</f>
        <v>13562.3469</v>
      </c>
      <c r="H130" s="139">
        <v>0</v>
      </c>
      <c r="I130" s="141">
        <f t="shared" si="36"/>
        <v>0</v>
      </c>
      <c r="J130" s="142">
        <f>G130+I130</f>
        <v>13562.3469</v>
      </c>
      <c r="K130" s="5">
        <v>33.8</v>
      </c>
      <c r="M130" s="58">
        <v>13579.641399999999</v>
      </c>
      <c r="N130" s="6">
        <f t="shared" si="34"/>
        <v>13562.3469</v>
      </c>
      <c r="O130" s="188">
        <f t="shared" si="35"/>
        <v>17.294499999998152</v>
      </c>
      <c r="P130" s="5"/>
      <c r="Q130" s="5"/>
      <c r="R130" s="5"/>
      <c r="S130" s="230">
        <f>E130*T130</f>
        <v>0</v>
      </c>
      <c r="T130" s="241">
        <v>0</v>
      </c>
      <c r="U130" s="232">
        <f>T130*J130</f>
        <v>0</v>
      </c>
      <c r="V130" s="230">
        <f>W130*E130</f>
        <v>0</v>
      </c>
      <c r="W130" s="231">
        <v>0</v>
      </c>
      <c r="X130" s="232">
        <f>W130*J130</f>
        <v>0</v>
      </c>
      <c r="Y130" s="230">
        <f>Z130*E130</f>
        <v>34.589</v>
      </c>
      <c r="Z130" s="241">
        <v>0.1</v>
      </c>
      <c r="AA130" s="232">
        <f>Z130*J130</f>
        <v>1356.2346900000002</v>
      </c>
      <c r="AB130" s="274">
        <f>T130+W130+Z130</f>
        <v>0.1</v>
      </c>
      <c r="AC130" s="286">
        <v>0.9</v>
      </c>
    </row>
    <row r="131" spans="1:29" ht="12.75">
      <c r="A131" s="136"/>
      <c r="B131" s="145" t="s">
        <v>466</v>
      </c>
      <c r="C131" s="137"/>
      <c r="D131" s="137"/>
      <c r="E131" s="138"/>
      <c r="F131" s="146"/>
      <c r="G131" s="140"/>
      <c r="H131" s="143"/>
      <c r="I131" s="141"/>
      <c r="J131" s="147">
        <f>SUM(J130)</f>
        <v>13562.3469</v>
      </c>
      <c r="M131" s="122">
        <v>13579.641399999999</v>
      </c>
      <c r="N131" s="12">
        <f t="shared" si="34"/>
        <v>13562.3469</v>
      </c>
      <c r="O131" s="189">
        <f t="shared" si="35"/>
        <v>17.294499999998152</v>
      </c>
      <c r="P131" s="5"/>
      <c r="Q131" s="5"/>
      <c r="R131" s="5"/>
      <c r="S131" s="5"/>
      <c r="T131" s="5"/>
      <c r="U131" s="236">
        <f>SUM(U130)</f>
        <v>0</v>
      </c>
      <c r="V131" s="5"/>
      <c r="W131" s="5"/>
      <c r="X131" s="236">
        <f>SUM(X130)</f>
        <v>0</v>
      </c>
      <c r="Y131" s="5"/>
      <c r="Z131" s="5"/>
      <c r="AA131" s="236">
        <f>SUM(AA130)</f>
        <v>1356.2346900000002</v>
      </c>
      <c r="AB131" s="273"/>
      <c r="AC131" s="286"/>
    </row>
    <row r="132" spans="1:29" s="8" customFormat="1" ht="12.75">
      <c r="A132" s="131" t="s">
        <v>226</v>
      </c>
      <c r="B132" s="131" t="s">
        <v>227</v>
      </c>
      <c r="C132" s="160"/>
      <c r="D132" s="160"/>
      <c r="E132" s="161"/>
      <c r="F132" s="162"/>
      <c r="G132" s="163"/>
      <c r="H132" s="149"/>
      <c r="I132" s="164"/>
      <c r="J132" s="250">
        <f>(U145+X145)/J145</f>
        <v>0</v>
      </c>
      <c r="K132" s="165"/>
      <c r="L132" s="165"/>
      <c r="M132" s="165"/>
      <c r="N132" s="165"/>
      <c r="O132" s="165"/>
      <c r="P132" s="165"/>
      <c r="Q132" s="165"/>
      <c r="R132" s="165"/>
      <c r="S132" s="30"/>
      <c r="T132" s="30"/>
      <c r="U132" s="30"/>
      <c r="V132" s="30"/>
      <c r="W132" s="30"/>
      <c r="X132" s="30"/>
      <c r="Y132" s="30"/>
      <c r="Z132" s="30"/>
      <c r="AA132" s="30"/>
      <c r="AB132" s="276"/>
      <c r="AC132" s="288"/>
    </row>
    <row r="133" spans="1:29" s="8" customFormat="1" ht="12.75">
      <c r="A133" s="144" t="s">
        <v>228</v>
      </c>
      <c r="B133" s="144" t="s">
        <v>229</v>
      </c>
      <c r="C133" s="154"/>
      <c r="D133" s="154"/>
      <c r="E133" s="155"/>
      <c r="F133" s="156"/>
      <c r="G133" s="157"/>
      <c r="H133" s="143"/>
      <c r="I133" s="158"/>
      <c r="J133" s="159"/>
      <c r="K133" s="24"/>
      <c r="L133" s="114"/>
      <c r="M133" s="122"/>
      <c r="N133" s="6">
        <f t="shared" si="34"/>
        <v>0</v>
      </c>
      <c r="O133" s="188">
        <f t="shared" si="35"/>
        <v>0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77"/>
      <c r="AC133" s="286"/>
    </row>
    <row r="134" spans="1:29" ht="25.5">
      <c r="A134" s="136" t="s">
        <v>425</v>
      </c>
      <c r="B134" s="136" t="s">
        <v>230</v>
      </c>
      <c r="C134" s="137" t="s">
        <v>23</v>
      </c>
      <c r="D134" s="137" t="s">
        <v>13</v>
      </c>
      <c r="E134" s="138">
        <v>997.23</v>
      </c>
      <c r="F134" s="139">
        <v>2.32</v>
      </c>
      <c r="G134" s="140">
        <f>F134*E134</f>
        <v>2313.5735999999997</v>
      </c>
      <c r="H134" s="139">
        <v>4.51</v>
      </c>
      <c r="I134" s="141">
        <f t="shared" si="36"/>
        <v>4497.5073</v>
      </c>
      <c r="J134" s="142">
        <f>G134+I134</f>
        <v>6811.0809</v>
      </c>
      <c r="K134" s="5">
        <v>2</v>
      </c>
      <c r="L134" s="113">
        <v>3.89</v>
      </c>
      <c r="M134" s="58">
        <v>6821.0532</v>
      </c>
      <c r="N134" s="6">
        <f t="shared" si="34"/>
        <v>6811.0809</v>
      </c>
      <c r="O134" s="188">
        <f t="shared" si="35"/>
        <v>9.97230000000036</v>
      </c>
      <c r="P134" s="5"/>
      <c r="Q134" s="5"/>
      <c r="R134" s="5"/>
      <c r="S134" s="230">
        <f aca="true" t="shared" si="44" ref="S134:S144">E134*T134</f>
        <v>0</v>
      </c>
      <c r="T134" s="241">
        <v>0</v>
      </c>
      <c r="U134" s="232">
        <f aca="true" t="shared" si="45" ref="U134:U144">T134*J134</f>
        <v>0</v>
      </c>
      <c r="V134" s="230">
        <f aca="true" t="shared" si="46" ref="V134:V144">W134*E134</f>
        <v>0</v>
      </c>
      <c r="W134" s="231">
        <v>0</v>
      </c>
      <c r="X134" s="232">
        <f aca="true" t="shared" si="47" ref="X134:X144">W134*J134</f>
        <v>0</v>
      </c>
      <c r="Y134" s="230">
        <f>Z134*E134</f>
        <v>0</v>
      </c>
      <c r="Z134" s="241">
        <v>0</v>
      </c>
      <c r="AA134" s="232">
        <f>Z134*J134</f>
        <v>0</v>
      </c>
      <c r="AB134" s="274">
        <f>T134+W134+Z134</f>
        <v>0</v>
      </c>
      <c r="AC134" s="286">
        <v>1</v>
      </c>
    </row>
    <row r="135" spans="1:29" ht="12.75">
      <c r="A135" s="136" t="s">
        <v>426</v>
      </c>
      <c r="B135" s="136" t="s">
        <v>231</v>
      </c>
      <c r="C135" s="137" t="s">
        <v>23</v>
      </c>
      <c r="D135" s="137" t="s">
        <v>13</v>
      </c>
      <c r="E135" s="138">
        <v>123.4</v>
      </c>
      <c r="F135" s="139">
        <v>3.48</v>
      </c>
      <c r="G135" s="140">
        <f>F135*E135</f>
        <v>429.432</v>
      </c>
      <c r="H135" s="139">
        <v>4.04</v>
      </c>
      <c r="I135" s="141">
        <f t="shared" si="36"/>
        <v>498.536</v>
      </c>
      <c r="J135" s="142">
        <f>G135+I135</f>
        <v>927.9680000000001</v>
      </c>
      <c r="K135" s="5">
        <v>3</v>
      </c>
      <c r="L135" s="113">
        <v>3.48</v>
      </c>
      <c r="M135" s="58">
        <v>929.202</v>
      </c>
      <c r="N135" s="6">
        <f t="shared" si="34"/>
        <v>927.9680000000001</v>
      </c>
      <c r="O135" s="188">
        <f t="shared" si="35"/>
        <v>1.2339999999999236</v>
      </c>
      <c r="P135" s="5"/>
      <c r="Q135" s="5"/>
      <c r="R135" s="5"/>
      <c r="S135" s="230">
        <f t="shared" si="44"/>
        <v>0</v>
      </c>
      <c r="T135" s="241">
        <v>0</v>
      </c>
      <c r="U135" s="232">
        <f t="shared" si="45"/>
        <v>0</v>
      </c>
      <c r="V135" s="230">
        <f t="shared" si="46"/>
        <v>0</v>
      </c>
      <c r="W135" s="231">
        <v>0</v>
      </c>
      <c r="X135" s="232">
        <f t="shared" si="47"/>
        <v>0</v>
      </c>
      <c r="Y135" s="230">
        <f>Z135*E135</f>
        <v>0</v>
      </c>
      <c r="Z135" s="241">
        <v>0</v>
      </c>
      <c r="AA135" s="232">
        <f>Z135*J135</f>
        <v>0</v>
      </c>
      <c r="AB135" s="274">
        <f>T135+W135+Z135</f>
        <v>0</v>
      </c>
      <c r="AC135" s="286">
        <v>1</v>
      </c>
    </row>
    <row r="136" spans="1:29" ht="25.5">
      <c r="A136" s="136" t="s">
        <v>427</v>
      </c>
      <c r="B136" s="136" t="s">
        <v>232</v>
      </c>
      <c r="C136" s="137" t="s">
        <v>23</v>
      </c>
      <c r="D136" s="137" t="s">
        <v>13</v>
      </c>
      <c r="E136" s="138">
        <v>527.94</v>
      </c>
      <c r="F136" s="139">
        <v>6.84</v>
      </c>
      <c r="G136" s="140">
        <f>F136*E136</f>
        <v>3611.1096000000002</v>
      </c>
      <c r="H136" s="139">
        <v>4.64</v>
      </c>
      <c r="I136" s="141">
        <f t="shared" si="36"/>
        <v>2449.6416</v>
      </c>
      <c r="J136" s="142">
        <f>G136+I136</f>
        <v>6060.751200000001</v>
      </c>
      <c r="K136" s="5">
        <v>5.9</v>
      </c>
      <c r="L136" s="113">
        <v>4</v>
      </c>
      <c r="M136" s="58">
        <v>6081.8688</v>
      </c>
      <c r="N136" s="6">
        <f t="shared" si="34"/>
        <v>6060.751200000001</v>
      </c>
      <c r="O136" s="188">
        <f t="shared" si="35"/>
        <v>21.117599999999584</v>
      </c>
      <c r="P136" s="5"/>
      <c r="Q136" s="5"/>
      <c r="R136" s="5"/>
      <c r="S136" s="230">
        <f t="shared" si="44"/>
        <v>0</v>
      </c>
      <c r="T136" s="241">
        <v>0</v>
      </c>
      <c r="U136" s="232">
        <f t="shared" si="45"/>
        <v>0</v>
      </c>
      <c r="V136" s="230">
        <f t="shared" si="46"/>
        <v>0</v>
      </c>
      <c r="W136" s="231">
        <v>0</v>
      </c>
      <c r="X136" s="232">
        <f t="shared" si="47"/>
        <v>0</v>
      </c>
      <c r="Y136" s="230">
        <f>Z136*E136</f>
        <v>0</v>
      </c>
      <c r="Z136" s="241">
        <v>0</v>
      </c>
      <c r="AA136" s="232">
        <f>Z136*J136</f>
        <v>0</v>
      </c>
      <c r="AB136" s="274">
        <f>T136+W136+Z136</f>
        <v>0</v>
      </c>
      <c r="AC136" s="286">
        <v>1</v>
      </c>
    </row>
    <row r="137" spans="1:29" ht="12.75">
      <c r="A137" s="136" t="s">
        <v>428</v>
      </c>
      <c r="B137" s="136" t="s">
        <v>24</v>
      </c>
      <c r="C137" s="137" t="s">
        <v>23</v>
      </c>
      <c r="D137" s="137" t="s">
        <v>13</v>
      </c>
      <c r="E137" s="138">
        <v>345.89</v>
      </c>
      <c r="F137" s="139">
        <v>3.48</v>
      </c>
      <c r="G137" s="140">
        <f>F137*E137</f>
        <v>1203.6971999999998</v>
      </c>
      <c r="H137" s="139">
        <v>3.75</v>
      </c>
      <c r="I137" s="141">
        <f t="shared" si="36"/>
        <v>1297.0874999999999</v>
      </c>
      <c r="J137" s="142">
        <f>G137+I137</f>
        <v>2500.7846999999997</v>
      </c>
      <c r="K137" s="5">
        <v>3</v>
      </c>
      <c r="L137" s="113">
        <v>3.23</v>
      </c>
      <c r="M137" s="58">
        <v>2504.2436</v>
      </c>
      <c r="N137" s="6">
        <f t="shared" si="34"/>
        <v>2500.7846999999997</v>
      </c>
      <c r="O137" s="188">
        <f t="shared" si="35"/>
        <v>3.458900000000085</v>
      </c>
      <c r="P137" s="5"/>
      <c r="Q137" s="5"/>
      <c r="R137" s="5"/>
      <c r="S137" s="230">
        <f t="shared" si="44"/>
        <v>0</v>
      </c>
      <c r="T137" s="241">
        <v>0</v>
      </c>
      <c r="U137" s="232">
        <f t="shared" si="45"/>
        <v>0</v>
      </c>
      <c r="V137" s="230">
        <f t="shared" si="46"/>
        <v>0</v>
      </c>
      <c r="W137" s="231">
        <v>0</v>
      </c>
      <c r="X137" s="232">
        <f t="shared" si="47"/>
        <v>0</v>
      </c>
      <c r="Y137" s="230">
        <f>Z137*E137</f>
        <v>0</v>
      </c>
      <c r="Z137" s="241">
        <v>0</v>
      </c>
      <c r="AA137" s="232">
        <f>Z137*J137</f>
        <v>0</v>
      </c>
      <c r="AB137" s="274">
        <f>T137+W137+Z137</f>
        <v>0</v>
      </c>
      <c r="AC137" s="286">
        <v>1</v>
      </c>
    </row>
    <row r="138" spans="1:29" s="8" customFormat="1" ht="12.75">
      <c r="A138" s="144" t="s">
        <v>233</v>
      </c>
      <c r="B138" s="144" t="s">
        <v>234</v>
      </c>
      <c r="C138" s="154"/>
      <c r="D138" s="154"/>
      <c r="E138" s="155"/>
      <c r="F138" s="156"/>
      <c r="G138" s="157"/>
      <c r="H138" s="143"/>
      <c r="I138" s="158"/>
      <c r="J138" s="159"/>
      <c r="K138" s="24"/>
      <c r="L138" s="114"/>
      <c r="M138" s="122"/>
      <c r="N138" s="6">
        <f t="shared" si="34"/>
        <v>0</v>
      </c>
      <c r="O138" s="188">
        <f t="shared" si="35"/>
        <v>0</v>
      </c>
      <c r="P138" s="24"/>
      <c r="Q138" s="24"/>
      <c r="R138" s="24"/>
      <c r="S138" s="242"/>
      <c r="T138" s="242"/>
      <c r="U138" s="242"/>
      <c r="V138" s="230"/>
      <c r="W138" s="231"/>
      <c r="X138" s="232"/>
      <c r="Y138" s="230"/>
      <c r="Z138" s="241"/>
      <c r="AA138" s="232"/>
      <c r="AB138" s="275"/>
      <c r="AC138" s="286"/>
    </row>
    <row r="139" spans="1:29" ht="25.5">
      <c r="A139" s="136" t="s">
        <v>429</v>
      </c>
      <c r="B139" s="136" t="s">
        <v>235</v>
      </c>
      <c r="C139" s="137" t="s">
        <v>23</v>
      </c>
      <c r="D139" s="137" t="s">
        <v>13</v>
      </c>
      <c r="E139" s="138">
        <v>68.42</v>
      </c>
      <c r="F139" s="139">
        <v>3.11</v>
      </c>
      <c r="G139" s="140">
        <f>F139*E139</f>
        <v>212.7862</v>
      </c>
      <c r="H139" s="139">
        <v>5.8</v>
      </c>
      <c r="I139" s="141">
        <f t="shared" si="36"/>
        <v>396.836</v>
      </c>
      <c r="J139" s="142">
        <f>G139+I139</f>
        <v>609.6222</v>
      </c>
      <c r="K139" s="5">
        <v>2.68</v>
      </c>
      <c r="L139" s="113">
        <v>5</v>
      </c>
      <c r="M139" s="58">
        <v>610.3063999999999</v>
      </c>
      <c r="N139" s="6">
        <f t="shared" si="34"/>
        <v>609.6222</v>
      </c>
      <c r="O139" s="188">
        <f t="shared" si="35"/>
        <v>0.6841999999999189</v>
      </c>
      <c r="P139" s="5"/>
      <c r="Q139" s="5"/>
      <c r="R139" s="5"/>
      <c r="S139" s="230">
        <f t="shared" si="44"/>
        <v>0</v>
      </c>
      <c r="T139" s="241">
        <v>0</v>
      </c>
      <c r="U139" s="232">
        <f t="shared" si="45"/>
        <v>0</v>
      </c>
      <c r="V139" s="230">
        <f t="shared" si="46"/>
        <v>0</v>
      </c>
      <c r="W139" s="231">
        <v>0</v>
      </c>
      <c r="X139" s="232">
        <f t="shared" si="47"/>
        <v>0</v>
      </c>
      <c r="Y139" s="230">
        <f>Z139*E139</f>
        <v>0</v>
      </c>
      <c r="Z139" s="241">
        <v>0</v>
      </c>
      <c r="AA139" s="232">
        <f>Z139*J139</f>
        <v>0</v>
      </c>
      <c r="AB139" s="274">
        <f>T139+W139+Z139</f>
        <v>0</v>
      </c>
      <c r="AC139" s="286">
        <v>1</v>
      </c>
    </row>
    <row r="140" spans="1:29" ht="25.5">
      <c r="A140" s="136" t="s">
        <v>430</v>
      </c>
      <c r="B140" s="136" t="s">
        <v>236</v>
      </c>
      <c r="C140" s="137" t="s">
        <v>23</v>
      </c>
      <c r="D140" s="137" t="s">
        <v>13</v>
      </c>
      <c r="E140" s="138">
        <v>68.42</v>
      </c>
      <c r="F140" s="139">
        <v>4.64</v>
      </c>
      <c r="G140" s="140">
        <f>F140*E140</f>
        <v>317.4688</v>
      </c>
      <c r="H140" s="139">
        <v>3.39</v>
      </c>
      <c r="I140" s="141">
        <f t="shared" si="36"/>
        <v>231.9438</v>
      </c>
      <c r="J140" s="142">
        <f>G140+I140</f>
        <v>549.4126</v>
      </c>
      <c r="K140" s="5">
        <v>4</v>
      </c>
      <c r="L140" s="113">
        <v>2.92</v>
      </c>
      <c r="M140" s="58">
        <v>550.0968</v>
      </c>
      <c r="N140" s="6">
        <f t="shared" si="34"/>
        <v>549.4126</v>
      </c>
      <c r="O140" s="188">
        <f t="shared" si="35"/>
        <v>0.6842000000000326</v>
      </c>
      <c r="P140" s="5"/>
      <c r="Q140" s="5"/>
      <c r="R140" s="5"/>
      <c r="S140" s="230">
        <f t="shared" si="44"/>
        <v>0</v>
      </c>
      <c r="T140" s="241">
        <v>0</v>
      </c>
      <c r="U140" s="232">
        <f t="shared" si="45"/>
        <v>0</v>
      </c>
      <c r="V140" s="230">
        <f t="shared" si="46"/>
        <v>0</v>
      </c>
      <c r="W140" s="231">
        <v>0</v>
      </c>
      <c r="X140" s="232">
        <f t="shared" si="47"/>
        <v>0</v>
      </c>
      <c r="Y140" s="230">
        <f>Z140*E140</f>
        <v>0</v>
      </c>
      <c r="Z140" s="241">
        <v>0</v>
      </c>
      <c r="AA140" s="232">
        <f>Z140*J140</f>
        <v>0</v>
      </c>
      <c r="AB140" s="274">
        <f>T140+W140+Z140</f>
        <v>0</v>
      </c>
      <c r="AC140" s="286">
        <v>1</v>
      </c>
    </row>
    <row r="141" spans="1:29" s="8" customFormat="1" ht="12.75">
      <c r="A141" s="144" t="s">
        <v>237</v>
      </c>
      <c r="B141" s="144" t="s">
        <v>238</v>
      </c>
      <c r="C141" s="154"/>
      <c r="D141" s="154"/>
      <c r="E141" s="155"/>
      <c r="F141" s="156"/>
      <c r="G141" s="157"/>
      <c r="H141" s="143"/>
      <c r="I141" s="158"/>
      <c r="J141" s="159"/>
      <c r="K141" s="24"/>
      <c r="L141" s="114"/>
      <c r="M141" s="122"/>
      <c r="N141" s="6">
        <f t="shared" si="34"/>
        <v>0</v>
      </c>
      <c r="O141" s="188">
        <f t="shared" si="35"/>
        <v>0</v>
      </c>
      <c r="P141" s="24"/>
      <c r="Q141" s="24"/>
      <c r="R141" s="24"/>
      <c r="S141" s="242"/>
      <c r="T141" s="242"/>
      <c r="U141" s="242"/>
      <c r="V141" s="230">
        <f t="shared" si="46"/>
        <v>0</v>
      </c>
      <c r="W141" s="231">
        <v>0</v>
      </c>
      <c r="X141" s="232">
        <f t="shared" si="47"/>
        <v>0</v>
      </c>
      <c r="Y141" s="230">
        <f>Z141*E141</f>
        <v>0</v>
      </c>
      <c r="Z141" s="241">
        <v>0</v>
      </c>
      <c r="AA141" s="232">
        <f>Z141*J141</f>
        <v>0</v>
      </c>
      <c r="AB141" s="274">
        <f>T141+W141+Z141</f>
        <v>0</v>
      </c>
      <c r="AC141" s="286">
        <v>1</v>
      </c>
    </row>
    <row r="142" spans="1:29" ht="25.5">
      <c r="A142" s="136" t="s">
        <v>431</v>
      </c>
      <c r="B142" s="136" t="s">
        <v>239</v>
      </c>
      <c r="C142" s="137" t="s">
        <v>23</v>
      </c>
      <c r="D142" s="137" t="s">
        <v>13</v>
      </c>
      <c r="E142" s="138">
        <v>24.57</v>
      </c>
      <c r="F142" s="139">
        <v>6.84</v>
      </c>
      <c r="G142" s="140">
        <f>F142*E142</f>
        <v>168.0588</v>
      </c>
      <c r="H142" s="139">
        <v>7.02</v>
      </c>
      <c r="I142" s="141">
        <f t="shared" si="36"/>
        <v>172.48139999999998</v>
      </c>
      <c r="J142" s="142">
        <f>G142+I142</f>
        <v>340.54019999999997</v>
      </c>
      <c r="K142" s="5">
        <v>5.9</v>
      </c>
      <c r="L142" s="113">
        <v>6.05</v>
      </c>
      <c r="M142" s="58">
        <v>342.0144</v>
      </c>
      <c r="N142" s="6">
        <f t="shared" si="34"/>
        <v>340.54019999999997</v>
      </c>
      <c r="O142" s="188">
        <f t="shared" si="35"/>
        <v>1.474200000000053</v>
      </c>
      <c r="P142" s="5"/>
      <c r="Q142" s="5"/>
      <c r="R142" s="5"/>
      <c r="S142" s="230">
        <f t="shared" si="44"/>
        <v>0</v>
      </c>
      <c r="T142" s="241">
        <v>0</v>
      </c>
      <c r="U142" s="232">
        <f t="shared" si="45"/>
        <v>0</v>
      </c>
      <c r="V142" s="230">
        <f t="shared" si="46"/>
        <v>0</v>
      </c>
      <c r="W142" s="231">
        <v>0</v>
      </c>
      <c r="X142" s="232">
        <f t="shared" si="47"/>
        <v>0</v>
      </c>
      <c r="Y142" s="230">
        <f>Z142*E142</f>
        <v>0</v>
      </c>
      <c r="Z142" s="241">
        <v>0</v>
      </c>
      <c r="AA142" s="232">
        <f>Z142*J142</f>
        <v>0</v>
      </c>
      <c r="AB142" s="274">
        <f>T142+W142+Z142</f>
        <v>0</v>
      </c>
      <c r="AC142" s="286">
        <v>1</v>
      </c>
    </row>
    <row r="143" spans="1:29" s="8" customFormat="1" ht="12.75">
      <c r="A143" s="144" t="s">
        <v>240</v>
      </c>
      <c r="B143" s="144" t="s">
        <v>241</v>
      </c>
      <c r="C143" s="154"/>
      <c r="D143" s="154"/>
      <c r="E143" s="155"/>
      <c r="F143" s="156"/>
      <c r="G143" s="157"/>
      <c r="H143" s="143"/>
      <c r="I143" s="158"/>
      <c r="J143" s="159"/>
      <c r="K143" s="24"/>
      <c r="L143" s="114"/>
      <c r="M143" s="122"/>
      <c r="N143" s="6">
        <f t="shared" si="34"/>
        <v>0</v>
      </c>
      <c r="O143" s="188">
        <f t="shared" si="35"/>
        <v>0</v>
      </c>
      <c r="P143" s="24"/>
      <c r="Q143" s="24"/>
      <c r="R143" s="24"/>
      <c r="S143" s="242"/>
      <c r="T143" s="242"/>
      <c r="U143" s="242"/>
      <c r="V143" s="230"/>
      <c r="W143" s="231"/>
      <c r="X143" s="232"/>
      <c r="Y143" s="230"/>
      <c r="Z143" s="241"/>
      <c r="AA143" s="232"/>
      <c r="AB143" s="275"/>
      <c r="AC143" s="286"/>
    </row>
    <row r="144" spans="1:29" ht="12.75">
      <c r="A144" s="136" t="s">
        <v>432</v>
      </c>
      <c r="B144" s="136" t="s">
        <v>242</v>
      </c>
      <c r="C144" s="137" t="s">
        <v>23</v>
      </c>
      <c r="D144" s="137" t="s">
        <v>13</v>
      </c>
      <c r="E144" s="138">
        <v>8.55</v>
      </c>
      <c r="F144" s="139">
        <v>5.8</v>
      </c>
      <c r="G144" s="140">
        <f>F144*E144</f>
        <v>49.59</v>
      </c>
      <c r="H144" s="139">
        <v>8.12</v>
      </c>
      <c r="I144" s="141">
        <f t="shared" si="36"/>
        <v>69.426</v>
      </c>
      <c r="J144" s="142">
        <f>G144+I144</f>
        <v>119.016</v>
      </c>
      <c r="K144" s="5">
        <v>5</v>
      </c>
      <c r="L144" s="113">
        <v>7</v>
      </c>
      <c r="M144" s="58">
        <v>126.54</v>
      </c>
      <c r="N144" s="6">
        <f t="shared" si="34"/>
        <v>119.016</v>
      </c>
      <c r="O144" s="188">
        <f t="shared" si="35"/>
        <v>7.524000000000001</v>
      </c>
      <c r="P144" s="5"/>
      <c r="Q144" s="5"/>
      <c r="R144" s="5"/>
      <c r="S144" s="230">
        <f t="shared" si="44"/>
        <v>0</v>
      </c>
      <c r="T144" s="241">
        <v>0</v>
      </c>
      <c r="U144" s="232">
        <f t="shared" si="45"/>
        <v>0</v>
      </c>
      <c r="V144" s="230">
        <f t="shared" si="46"/>
        <v>0</v>
      </c>
      <c r="W144" s="231">
        <v>0</v>
      </c>
      <c r="X144" s="232">
        <f t="shared" si="47"/>
        <v>0</v>
      </c>
      <c r="Y144" s="230">
        <f>Z144*E144</f>
        <v>0</v>
      </c>
      <c r="Z144" s="241">
        <v>0</v>
      </c>
      <c r="AA144" s="232">
        <f>Z144*J144</f>
        <v>0</v>
      </c>
      <c r="AB144" s="274">
        <f>T144+W144+Z144</f>
        <v>0</v>
      </c>
      <c r="AC144" s="286">
        <v>1</v>
      </c>
    </row>
    <row r="145" spans="1:29" ht="12.75">
      <c r="A145" s="136"/>
      <c r="B145" s="145" t="s">
        <v>466</v>
      </c>
      <c r="C145" s="137"/>
      <c r="D145" s="137"/>
      <c r="E145" s="138"/>
      <c r="F145" s="146"/>
      <c r="G145" s="140"/>
      <c r="H145" s="139">
        <v>0</v>
      </c>
      <c r="I145" s="141"/>
      <c r="J145" s="147">
        <f>SUM(J134:J144)</f>
        <v>17919.1758</v>
      </c>
      <c r="M145" s="122">
        <v>17965.3252</v>
      </c>
      <c r="N145" s="12">
        <f t="shared" si="34"/>
        <v>17919.1758</v>
      </c>
      <c r="O145" s="189">
        <f t="shared" si="35"/>
        <v>46.14939999999842</v>
      </c>
      <c r="P145" s="5"/>
      <c r="Q145" s="5"/>
      <c r="R145" s="5"/>
      <c r="S145" s="5"/>
      <c r="T145" s="5"/>
      <c r="U145" s="236">
        <f>SUM(U134:U144)</f>
        <v>0</v>
      </c>
      <c r="V145" s="5"/>
      <c r="W145" s="5"/>
      <c r="X145" s="236">
        <f>SUM(X134:X144)</f>
        <v>0</v>
      </c>
      <c r="Y145" s="5"/>
      <c r="Z145" s="5"/>
      <c r="AA145" s="236">
        <f>SUM(AA134:AA144)</f>
        <v>0</v>
      </c>
      <c r="AB145" s="273"/>
      <c r="AC145" s="286"/>
    </row>
    <row r="146" spans="1:29" s="8" customFormat="1" ht="12.75">
      <c r="A146" s="131" t="s">
        <v>243</v>
      </c>
      <c r="B146" s="131" t="s">
        <v>244</v>
      </c>
      <c r="C146" s="160"/>
      <c r="D146" s="160"/>
      <c r="E146" s="161"/>
      <c r="F146" s="162"/>
      <c r="G146" s="163"/>
      <c r="H146" s="149"/>
      <c r="I146" s="164"/>
      <c r="J146" s="250">
        <f>(U172+X172)/J172</f>
        <v>0</v>
      </c>
      <c r="K146" s="165"/>
      <c r="L146" s="165"/>
      <c r="M146" s="165"/>
      <c r="N146" s="165"/>
      <c r="O146" s="165"/>
      <c r="P146" s="165"/>
      <c r="Q146" s="165"/>
      <c r="R146" s="165"/>
      <c r="S146" s="30"/>
      <c r="T146" s="30"/>
      <c r="U146" s="30"/>
      <c r="V146" s="30"/>
      <c r="W146" s="30"/>
      <c r="X146" s="30"/>
      <c r="Y146" s="30"/>
      <c r="Z146" s="30"/>
      <c r="AA146" s="30"/>
      <c r="AB146" s="276"/>
      <c r="AC146" s="288"/>
    </row>
    <row r="147" spans="1:29" s="8" customFormat="1" ht="12.75">
      <c r="A147" s="144" t="s">
        <v>245</v>
      </c>
      <c r="B147" s="144" t="s">
        <v>246</v>
      </c>
      <c r="C147" s="154"/>
      <c r="D147" s="154"/>
      <c r="E147" s="155"/>
      <c r="F147" s="156"/>
      <c r="G147" s="157"/>
      <c r="H147" s="143"/>
      <c r="I147" s="158"/>
      <c r="J147" s="159"/>
      <c r="K147" s="24"/>
      <c r="L147" s="114"/>
      <c r="M147" s="122"/>
      <c r="N147" s="6">
        <f aca="true" t="shared" si="48" ref="N147:N204">J147</f>
        <v>0</v>
      </c>
      <c r="O147" s="188">
        <f aca="true" t="shared" si="49" ref="O147:O205">M147-N147</f>
        <v>0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77"/>
      <c r="AC147" s="286"/>
    </row>
    <row r="148" spans="1:29" ht="25.5">
      <c r="A148" s="136" t="s">
        <v>433</v>
      </c>
      <c r="B148" s="136" t="s">
        <v>247</v>
      </c>
      <c r="C148" s="137" t="s">
        <v>23</v>
      </c>
      <c r="D148" s="137" t="s">
        <v>17</v>
      </c>
      <c r="E148" s="138">
        <v>3</v>
      </c>
      <c r="F148" s="139">
        <v>31.82</v>
      </c>
      <c r="G148" s="140">
        <f>F148*E148</f>
        <v>95.46000000000001</v>
      </c>
      <c r="H148" s="139">
        <v>11.14</v>
      </c>
      <c r="I148" s="141">
        <f t="shared" si="36"/>
        <v>33.42</v>
      </c>
      <c r="J148" s="142">
        <f>G148+I148</f>
        <v>128.88</v>
      </c>
      <c r="K148" s="57">
        <f>0.85*'ORÇAMENTO CRICIUMA FINAL (2)'!F206</f>
        <v>27.4295</v>
      </c>
      <c r="L148" s="119">
        <f>0.35*K148</f>
        <v>9.600325</v>
      </c>
      <c r="M148" s="58">
        <v>157.29</v>
      </c>
      <c r="N148" s="6">
        <f t="shared" si="48"/>
        <v>128.88</v>
      </c>
      <c r="O148" s="188">
        <f t="shared" si="49"/>
        <v>28.409999999999997</v>
      </c>
      <c r="P148" s="5"/>
      <c r="Q148" s="5"/>
      <c r="R148" s="5"/>
      <c r="S148" s="230">
        <f aca="true" t="shared" si="50" ref="S148:S171">E148*T148</f>
        <v>0</v>
      </c>
      <c r="T148" s="241">
        <v>0</v>
      </c>
      <c r="U148" s="232">
        <f aca="true" t="shared" si="51" ref="U148:U171">T148*J148</f>
        <v>0</v>
      </c>
      <c r="V148" s="230">
        <f aca="true" t="shared" si="52" ref="V148:V171">W148*E148</f>
        <v>0</v>
      </c>
      <c r="W148" s="231">
        <v>0</v>
      </c>
      <c r="X148" s="232">
        <f aca="true" t="shared" si="53" ref="X148:X171">W148*J148</f>
        <v>0</v>
      </c>
      <c r="Y148" s="230">
        <f>Z148*E148</f>
        <v>0</v>
      </c>
      <c r="Z148" s="241">
        <v>0</v>
      </c>
      <c r="AA148" s="232">
        <f>Z148*J148</f>
        <v>0</v>
      </c>
      <c r="AB148" s="274">
        <f>T148+W148+Z148</f>
        <v>0</v>
      </c>
      <c r="AC148" s="286">
        <v>1</v>
      </c>
    </row>
    <row r="149" spans="1:29" ht="12.75">
      <c r="A149" s="136" t="s">
        <v>434</v>
      </c>
      <c r="B149" s="136" t="s">
        <v>248</v>
      </c>
      <c r="C149" s="137" t="s">
        <v>52</v>
      </c>
      <c r="D149" s="137" t="s">
        <v>17</v>
      </c>
      <c r="E149" s="138">
        <v>3</v>
      </c>
      <c r="F149" s="139">
        <v>141.46</v>
      </c>
      <c r="G149" s="140">
        <f>F149*E149</f>
        <v>424.38</v>
      </c>
      <c r="H149" s="139">
        <v>0</v>
      </c>
      <c r="I149" s="141">
        <f t="shared" si="36"/>
        <v>0</v>
      </c>
      <c r="J149" s="142">
        <f>G149+I149</f>
        <v>424.38</v>
      </c>
      <c r="K149" s="57">
        <v>121.95</v>
      </c>
      <c r="L149" s="119"/>
      <c r="M149" s="58">
        <v>427.98</v>
      </c>
      <c r="N149" s="6">
        <f t="shared" si="48"/>
        <v>424.38</v>
      </c>
      <c r="O149" s="188">
        <f t="shared" si="49"/>
        <v>3.6000000000000227</v>
      </c>
      <c r="P149" s="5"/>
      <c r="Q149" s="5"/>
      <c r="R149" s="5"/>
      <c r="S149" s="230">
        <f t="shared" si="50"/>
        <v>0</v>
      </c>
      <c r="T149" s="241">
        <v>0</v>
      </c>
      <c r="U149" s="232">
        <f t="shared" si="51"/>
        <v>0</v>
      </c>
      <c r="V149" s="230">
        <f t="shared" si="52"/>
        <v>0</v>
      </c>
      <c r="W149" s="231">
        <v>0</v>
      </c>
      <c r="X149" s="232">
        <f t="shared" si="53"/>
        <v>0</v>
      </c>
      <c r="Y149" s="230">
        <f>Z149*E149</f>
        <v>0</v>
      </c>
      <c r="Z149" s="241">
        <v>0</v>
      </c>
      <c r="AA149" s="232">
        <f>Z149*J149</f>
        <v>0</v>
      </c>
      <c r="AB149" s="274">
        <f>T149+W149+Z149</f>
        <v>0</v>
      </c>
      <c r="AC149" s="286">
        <v>1</v>
      </c>
    </row>
    <row r="150" spans="1:29" ht="25.5">
      <c r="A150" s="136" t="s">
        <v>435</v>
      </c>
      <c r="B150" s="136" t="s">
        <v>249</v>
      </c>
      <c r="C150" s="137" t="s">
        <v>23</v>
      </c>
      <c r="D150" s="137" t="s">
        <v>17</v>
      </c>
      <c r="E150" s="138">
        <v>1</v>
      </c>
      <c r="F150" s="139">
        <v>425.14</v>
      </c>
      <c r="G150" s="140">
        <f>F150*E150</f>
        <v>425.14</v>
      </c>
      <c r="H150" s="139">
        <v>148.8</v>
      </c>
      <c r="I150" s="141">
        <f t="shared" si="36"/>
        <v>148.8</v>
      </c>
      <c r="J150" s="142">
        <f>G150+I150</f>
        <v>573.94</v>
      </c>
      <c r="K150" s="57">
        <v>366.5</v>
      </c>
      <c r="L150" s="119">
        <f>0.35*K150</f>
        <v>128.275</v>
      </c>
      <c r="M150" s="58">
        <v>574.97</v>
      </c>
      <c r="N150" s="6">
        <f t="shared" si="48"/>
        <v>573.94</v>
      </c>
      <c r="O150" s="188">
        <f t="shared" si="49"/>
        <v>1.0299999999999727</v>
      </c>
      <c r="P150" s="5"/>
      <c r="Q150" s="5"/>
      <c r="R150" s="5"/>
      <c r="S150" s="230">
        <f t="shared" si="50"/>
        <v>0</v>
      </c>
      <c r="T150" s="241">
        <v>0</v>
      </c>
      <c r="U150" s="232">
        <f t="shared" si="51"/>
        <v>0</v>
      </c>
      <c r="V150" s="230">
        <f t="shared" si="52"/>
        <v>0</v>
      </c>
      <c r="W150" s="231">
        <v>0</v>
      </c>
      <c r="X150" s="232">
        <f t="shared" si="53"/>
        <v>0</v>
      </c>
      <c r="Y150" s="230">
        <f>Z150*E150</f>
        <v>0</v>
      </c>
      <c r="Z150" s="241">
        <v>0</v>
      </c>
      <c r="AA150" s="232">
        <f>Z150*J150</f>
        <v>0</v>
      </c>
      <c r="AB150" s="274">
        <f>T150+W150+Z150</f>
        <v>0</v>
      </c>
      <c r="AC150" s="286">
        <v>1</v>
      </c>
    </row>
    <row r="151" spans="1:29" ht="25.5">
      <c r="A151" s="136" t="s">
        <v>436</v>
      </c>
      <c r="B151" s="136" t="s">
        <v>250</v>
      </c>
      <c r="C151" s="137" t="s">
        <v>23</v>
      </c>
      <c r="D151" s="137" t="s">
        <v>17</v>
      </c>
      <c r="E151" s="138">
        <v>5</v>
      </c>
      <c r="F151" s="139">
        <v>200.68</v>
      </c>
      <c r="G151" s="140">
        <f>F151*E151</f>
        <v>1003.4000000000001</v>
      </c>
      <c r="H151" s="139">
        <v>70.24</v>
      </c>
      <c r="I151" s="141">
        <f t="shared" si="36"/>
        <v>351.2</v>
      </c>
      <c r="J151" s="142">
        <f>G151+I151</f>
        <v>1354.6000000000001</v>
      </c>
      <c r="K151" s="57">
        <v>173</v>
      </c>
      <c r="L151" s="119">
        <f>0.35*K151</f>
        <v>60.55</v>
      </c>
      <c r="M151" s="58">
        <v>1354.65</v>
      </c>
      <c r="N151" s="6">
        <f t="shared" si="48"/>
        <v>1354.6000000000001</v>
      </c>
      <c r="O151" s="188">
        <f t="shared" si="49"/>
        <v>0.049999999999954525</v>
      </c>
      <c r="P151" s="5"/>
      <c r="Q151" s="5"/>
      <c r="R151" s="5"/>
      <c r="S151" s="230">
        <f t="shared" si="50"/>
        <v>0</v>
      </c>
      <c r="T151" s="241">
        <v>0</v>
      </c>
      <c r="U151" s="232">
        <f t="shared" si="51"/>
        <v>0</v>
      </c>
      <c r="V151" s="230">
        <f t="shared" si="52"/>
        <v>0</v>
      </c>
      <c r="W151" s="231">
        <v>0</v>
      </c>
      <c r="X151" s="232">
        <f t="shared" si="53"/>
        <v>0</v>
      </c>
      <c r="Y151" s="230">
        <f>Z151*E151</f>
        <v>0</v>
      </c>
      <c r="Z151" s="241">
        <v>0</v>
      </c>
      <c r="AA151" s="232">
        <f>Z151*J151</f>
        <v>0</v>
      </c>
      <c r="AB151" s="274">
        <f>T151+W151+Z151</f>
        <v>0</v>
      </c>
      <c r="AC151" s="286">
        <v>1</v>
      </c>
    </row>
    <row r="152" spans="1:29" s="8" customFormat="1" ht="12.75">
      <c r="A152" s="144" t="s">
        <v>251</v>
      </c>
      <c r="B152" s="144" t="s">
        <v>252</v>
      </c>
      <c r="C152" s="154"/>
      <c r="D152" s="154"/>
      <c r="E152" s="155"/>
      <c r="F152" s="156"/>
      <c r="G152" s="157"/>
      <c r="H152" s="143"/>
      <c r="I152" s="158"/>
      <c r="J152" s="159"/>
      <c r="K152" s="57"/>
      <c r="L152" s="119"/>
      <c r="M152" s="122"/>
      <c r="N152" s="6">
        <f t="shared" si="48"/>
        <v>0</v>
      </c>
      <c r="O152" s="188">
        <f t="shared" si="49"/>
        <v>0</v>
      </c>
      <c r="P152" s="24"/>
      <c r="Q152" s="24"/>
      <c r="R152" s="24"/>
      <c r="S152" s="242"/>
      <c r="T152" s="242"/>
      <c r="U152" s="242"/>
      <c r="V152" s="230"/>
      <c r="W152" s="231"/>
      <c r="X152" s="232"/>
      <c r="Y152" s="230"/>
      <c r="Z152" s="241"/>
      <c r="AA152" s="232"/>
      <c r="AB152" s="275"/>
      <c r="AC152" s="286"/>
    </row>
    <row r="153" spans="1:29" ht="12.75">
      <c r="A153" s="136" t="s">
        <v>437</v>
      </c>
      <c r="B153" s="136" t="s">
        <v>253</v>
      </c>
      <c r="C153" s="137" t="s">
        <v>23</v>
      </c>
      <c r="D153" s="137" t="s">
        <v>17</v>
      </c>
      <c r="E153" s="138">
        <v>1</v>
      </c>
      <c r="F153" s="139">
        <v>18.79</v>
      </c>
      <c r="G153" s="140">
        <f>F153*E153</f>
        <v>18.79</v>
      </c>
      <c r="H153" s="139">
        <v>6.58</v>
      </c>
      <c r="I153" s="141">
        <f t="shared" si="36"/>
        <v>6.58</v>
      </c>
      <c r="J153" s="142">
        <f>G153+I153</f>
        <v>25.369999999999997</v>
      </c>
      <c r="K153" s="57">
        <f>0.85*'ORÇAMENTO CRICIUMA FINAL (2)'!F211</f>
        <v>16.200999999999997</v>
      </c>
      <c r="L153" s="119">
        <f>0.35*K153</f>
        <v>5.670349999999998</v>
      </c>
      <c r="M153" s="58">
        <v>25.78</v>
      </c>
      <c r="N153" s="6">
        <f t="shared" si="48"/>
        <v>25.369999999999997</v>
      </c>
      <c r="O153" s="188">
        <f t="shared" si="49"/>
        <v>0.4100000000000037</v>
      </c>
      <c r="P153" s="5"/>
      <c r="Q153" s="5"/>
      <c r="R153" s="5"/>
      <c r="S153" s="230">
        <f t="shared" si="50"/>
        <v>0</v>
      </c>
      <c r="T153" s="241">
        <v>0</v>
      </c>
      <c r="U153" s="232">
        <f t="shared" si="51"/>
        <v>0</v>
      </c>
      <c r="V153" s="230">
        <f t="shared" si="52"/>
        <v>0</v>
      </c>
      <c r="W153" s="231">
        <v>0</v>
      </c>
      <c r="X153" s="232">
        <f t="shared" si="53"/>
        <v>0</v>
      </c>
      <c r="Y153" s="230">
        <f>Z153*E153</f>
        <v>0</v>
      </c>
      <c r="Z153" s="241">
        <v>0</v>
      </c>
      <c r="AA153" s="232">
        <f>Z153*J153</f>
        <v>0</v>
      </c>
      <c r="AB153" s="274">
        <f>T153+W153+Z153</f>
        <v>0</v>
      </c>
      <c r="AC153" s="286">
        <v>1</v>
      </c>
    </row>
    <row r="154" spans="1:29" ht="12.75">
      <c r="A154" s="136" t="s">
        <v>438</v>
      </c>
      <c r="B154" s="136" t="s">
        <v>254</v>
      </c>
      <c r="C154" s="137" t="s">
        <v>52</v>
      </c>
      <c r="D154" s="137" t="s">
        <v>17</v>
      </c>
      <c r="E154" s="138">
        <v>6</v>
      </c>
      <c r="F154" s="139">
        <v>158.84</v>
      </c>
      <c r="G154" s="140">
        <f>F154*E154</f>
        <v>953.04</v>
      </c>
      <c r="H154" s="139">
        <v>0</v>
      </c>
      <c r="I154" s="141">
        <f t="shared" si="36"/>
        <v>0</v>
      </c>
      <c r="J154" s="142">
        <f>G154+I154</f>
        <v>953.04</v>
      </c>
      <c r="K154" s="57">
        <v>136.93</v>
      </c>
      <c r="L154" s="119"/>
      <c r="M154" s="58">
        <v>953.1</v>
      </c>
      <c r="N154" s="6">
        <f t="shared" si="48"/>
        <v>953.04</v>
      </c>
      <c r="O154" s="188">
        <f t="shared" si="49"/>
        <v>0.06000000000005912</v>
      </c>
      <c r="P154" s="5"/>
      <c r="Q154" s="5"/>
      <c r="R154" s="5"/>
      <c r="S154" s="230">
        <f t="shared" si="50"/>
        <v>0</v>
      </c>
      <c r="T154" s="241">
        <v>0</v>
      </c>
      <c r="U154" s="232">
        <f t="shared" si="51"/>
        <v>0</v>
      </c>
      <c r="V154" s="230">
        <f t="shared" si="52"/>
        <v>0</v>
      </c>
      <c r="W154" s="231">
        <v>0</v>
      </c>
      <c r="X154" s="232">
        <f t="shared" si="53"/>
        <v>0</v>
      </c>
      <c r="Y154" s="230">
        <f>Z154*E154</f>
        <v>0</v>
      </c>
      <c r="Z154" s="241">
        <v>0</v>
      </c>
      <c r="AA154" s="232">
        <f>Z154*J154</f>
        <v>0</v>
      </c>
      <c r="AB154" s="274">
        <f>T154+W154+Z154</f>
        <v>0</v>
      </c>
      <c r="AC154" s="286">
        <v>1</v>
      </c>
    </row>
    <row r="155" spans="1:29" ht="25.5">
      <c r="A155" s="136" t="s">
        <v>439</v>
      </c>
      <c r="B155" s="136" t="s">
        <v>255</v>
      </c>
      <c r="C155" s="137" t="s">
        <v>52</v>
      </c>
      <c r="D155" s="137" t="s">
        <v>17</v>
      </c>
      <c r="E155" s="138">
        <v>1</v>
      </c>
      <c r="F155" s="139">
        <v>183.86</v>
      </c>
      <c r="G155" s="140">
        <f>F155*E155</f>
        <v>183.86</v>
      </c>
      <c r="H155" s="139">
        <v>0</v>
      </c>
      <c r="I155" s="141">
        <f t="shared" si="36"/>
        <v>0</v>
      </c>
      <c r="J155" s="142">
        <f>G155+I155</f>
        <v>183.86</v>
      </c>
      <c r="K155" s="57">
        <v>158.5</v>
      </c>
      <c r="L155" s="119"/>
      <c r="M155" s="58">
        <v>183.89</v>
      </c>
      <c r="N155" s="6">
        <f t="shared" si="48"/>
        <v>183.86</v>
      </c>
      <c r="O155" s="188">
        <f t="shared" si="49"/>
        <v>0.029999999999972715</v>
      </c>
      <c r="P155" s="5"/>
      <c r="Q155" s="5"/>
      <c r="R155" s="5"/>
      <c r="S155" s="230">
        <f t="shared" si="50"/>
        <v>0</v>
      </c>
      <c r="T155" s="241">
        <v>0</v>
      </c>
      <c r="U155" s="232">
        <f t="shared" si="51"/>
        <v>0</v>
      </c>
      <c r="V155" s="230">
        <f t="shared" si="52"/>
        <v>0</v>
      </c>
      <c r="W155" s="231">
        <v>0</v>
      </c>
      <c r="X155" s="232">
        <f t="shared" si="53"/>
        <v>0</v>
      </c>
      <c r="Y155" s="230">
        <f>Z155*E155</f>
        <v>0</v>
      </c>
      <c r="Z155" s="241">
        <v>0</v>
      </c>
      <c r="AA155" s="232">
        <f>Z155*J155</f>
        <v>0</v>
      </c>
      <c r="AB155" s="274">
        <f>T155+W155+Z155</f>
        <v>0</v>
      </c>
      <c r="AC155" s="286">
        <v>1</v>
      </c>
    </row>
    <row r="156" spans="1:29" ht="25.5">
      <c r="A156" s="136" t="s">
        <v>440</v>
      </c>
      <c r="B156" s="136" t="s">
        <v>256</v>
      </c>
      <c r="C156" s="137" t="s">
        <v>52</v>
      </c>
      <c r="D156" s="137" t="s">
        <v>17</v>
      </c>
      <c r="E156" s="138">
        <v>1</v>
      </c>
      <c r="F156" s="139">
        <v>118.55</v>
      </c>
      <c r="G156" s="140">
        <f>F156*E156</f>
        <v>118.55</v>
      </c>
      <c r="H156" s="139">
        <v>0</v>
      </c>
      <c r="I156" s="141">
        <f t="shared" si="36"/>
        <v>0</v>
      </c>
      <c r="J156" s="142">
        <f>G156+I156</f>
        <v>118.55</v>
      </c>
      <c r="K156" s="57">
        <v>102.2</v>
      </c>
      <c r="L156" s="119"/>
      <c r="M156" s="58">
        <v>118.63</v>
      </c>
      <c r="N156" s="6">
        <f t="shared" si="48"/>
        <v>118.55</v>
      </c>
      <c r="O156" s="188">
        <f t="shared" si="49"/>
        <v>0.0799999999999983</v>
      </c>
      <c r="P156" s="5"/>
      <c r="Q156" s="5"/>
      <c r="R156" s="5"/>
      <c r="S156" s="230">
        <f t="shared" si="50"/>
        <v>0</v>
      </c>
      <c r="T156" s="241">
        <v>0</v>
      </c>
      <c r="U156" s="232">
        <f t="shared" si="51"/>
        <v>0</v>
      </c>
      <c r="V156" s="230">
        <f t="shared" si="52"/>
        <v>0</v>
      </c>
      <c r="W156" s="231">
        <v>0</v>
      </c>
      <c r="X156" s="232">
        <f t="shared" si="53"/>
        <v>0</v>
      </c>
      <c r="Y156" s="230">
        <f>Z156*E156</f>
        <v>0</v>
      </c>
      <c r="Z156" s="241">
        <v>0</v>
      </c>
      <c r="AA156" s="232">
        <f>Z156*J156</f>
        <v>0</v>
      </c>
      <c r="AB156" s="274">
        <f>T156+W156+Z156</f>
        <v>0</v>
      </c>
      <c r="AC156" s="286">
        <v>1</v>
      </c>
    </row>
    <row r="157" spans="1:29" ht="25.5">
      <c r="A157" s="136" t="s">
        <v>441</v>
      </c>
      <c r="B157" s="136" t="s">
        <v>257</v>
      </c>
      <c r="C157" s="137" t="s">
        <v>52</v>
      </c>
      <c r="D157" s="137" t="s">
        <v>17</v>
      </c>
      <c r="E157" s="138">
        <v>1</v>
      </c>
      <c r="F157" s="139">
        <v>198.48</v>
      </c>
      <c r="G157" s="140">
        <f>F157*E157</f>
        <v>198.48</v>
      </c>
      <c r="H157" s="139">
        <v>0</v>
      </c>
      <c r="I157" s="141">
        <f t="shared" si="36"/>
        <v>0</v>
      </c>
      <c r="J157" s="142">
        <f>G157+I157</f>
        <v>198.48</v>
      </c>
      <c r="K157" s="57">
        <v>171.1</v>
      </c>
      <c r="L157" s="119"/>
      <c r="M157" s="58">
        <v>198.49</v>
      </c>
      <c r="N157" s="6">
        <f t="shared" si="48"/>
        <v>198.48</v>
      </c>
      <c r="O157" s="188">
        <f t="shared" si="49"/>
        <v>0.010000000000019327</v>
      </c>
      <c r="P157" s="5"/>
      <c r="Q157" s="5"/>
      <c r="R157" s="5"/>
      <c r="S157" s="230">
        <f t="shared" si="50"/>
        <v>0</v>
      </c>
      <c r="T157" s="241">
        <v>0</v>
      </c>
      <c r="U157" s="232">
        <f t="shared" si="51"/>
        <v>0</v>
      </c>
      <c r="V157" s="230">
        <f t="shared" si="52"/>
        <v>0</v>
      </c>
      <c r="W157" s="231">
        <v>0</v>
      </c>
      <c r="X157" s="232">
        <f t="shared" si="53"/>
        <v>0</v>
      </c>
      <c r="Y157" s="230">
        <f>Z157*E157</f>
        <v>0</v>
      </c>
      <c r="Z157" s="241">
        <v>0</v>
      </c>
      <c r="AA157" s="232">
        <f>Z157*J157</f>
        <v>0</v>
      </c>
      <c r="AB157" s="274">
        <f>T157+W157+Z157</f>
        <v>0</v>
      </c>
      <c r="AC157" s="286">
        <v>1</v>
      </c>
    </row>
    <row r="158" spans="1:29" s="8" customFormat="1" ht="12.75">
      <c r="A158" s="144" t="s">
        <v>258</v>
      </c>
      <c r="B158" s="144" t="s">
        <v>259</v>
      </c>
      <c r="C158" s="154"/>
      <c r="D158" s="154"/>
      <c r="E158" s="155"/>
      <c r="F158" s="156"/>
      <c r="G158" s="157"/>
      <c r="H158" s="143"/>
      <c r="I158" s="158"/>
      <c r="J158" s="159"/>
      <c r="K158" s="57"/>
      <c r="L158" s="119"/>
      <c r="M158" s="122"/>
      <c r="N158" s="6">
        <f t="shared" si="48"/>
        <v>0</v>
      </c>
      <c r="O158" s="188">
        <f t="shared" si="49"/>
        <v>0</v>
      </c>
      <c r="P158" s="24"/>
      <c r="Q158" s="24"/>
      <c r="R158" s="24"/>
      <c r="S158" s="242"/>
      <c r="T158" s="242"/>
      <c r="U158" s="242"/>
      <c r="V158" s="230"/>
      <c r="W158" s="231"/>
      <c r="X158" s="232"/>
      <c r="Y158" s="230"/>
      <c r="Z158" s="241"/>
      <c r="AA158" s="232"/>
      <c r="AB158" s="275"/>
      <c r="AC158" s="286"/>
    </row>
    <row r="159" spans="1:29" ht="25.5">
      <c r="A159" s="136" t="s">
        <v>442</v>
      </c>
      <c r="B159" s="136" t="s">
        <v>260</v>
      </c>
      <c r="C159" s="137" t="s">
        <v>52</v>
      </c>
      <c r="D159" s="137" t="s">
        <v>17</v>
      </c>
      <c r="E159" s="138">
        <v>6</v>
      </c>
      <c r="F159" s="139">
        <v>5.54</v>
      </c>
      <c r="G159" s="140">
        <f aca="true" t="shared" si="54" ref="G159:G166">F159*E159</f>
        <v>33.24</v>
      </c>
      <c r="H159" s="139">
        <v>0</v>
      </c>
      <c r="I159" s="141">
        <f t="shared" si="36"/>
        <v>0</v>
      </c>
      <c r="J159" s="142">
        <f aca="true" t="shared" si="55" ref="J159:J166">G159+I159</f>
        <v>33.24</v>
      </c>
      <c r="K159" s="57">
        <v>4.78</v>
      </c>
      <c r="L159" s="119"/>
      <c r="M159" s="58">
        <v>33.36</v>
      </c>
      <c r="N159" s="6">
        <f t="shared" si="48"/>
        <v>33.24</v>
      </c>
      <c r="O159" s="188">
        <f t="shared" si="49"/>
        <v>0.11999999999999744</v>
      </c>
      <c r="P159" s="5"/>
      <c r="Q159" s="5"/>
      <c r="R159" s="5"/>
      <c r="S159" s="230">
        <f t="shared" si="50"/>
        <v>0</v>
      </c>
      <c r="T159" s="241">
        <v>0</v>
      </c>
      <c r="U159" s="232">
        <f t="shared" si="51"/>
        <v>0</v>
      </c>
      <c r="V159" s="230">
        <f t="shared" si="52"/>
        <v>0</v>
      </c>
      <c r="W159" s="231">
        <v>0</v>
      </c>
      <c r="X159" s="232">
        <f t="shared" si="53"/>
        <v>0</v>
      </c>
      <c r="Y159" s="230">
        <f aca="true" t="shared" si="56" ref="Y159:Y166">Z159*E159</f>
        <v>0</v>
      </c>
      <c r="Z159" s="241">
        <v>0</v>
      </c>
      <c r="AA159" s="232">
        <f aca="true" t="shared" si="57" ref="AA159:AA166">Z159*J159</f>
        <v>0</v>
      </c>
      <c r="AB159" s="274">
        <f aca="true" t="shared" si="58" ref="AB159:AB166">T159+W159+Z159</f>
        <v>0</v>
      </c>
      <c r="AC159" s="286">
        <v>1</v>
      </c>
    </row>
    <row r="160" spans="1:29" ht="25.5">
      <c r="A160" s="136" t="s">
        <v>443</v>
      </c>
      <c r="B160" s="136" t="s">
        <v>261</v>
      </c>
      <c r="C160" s="137" t="s">
        <v>52</v>
      </c>
      <c r="D160" s="137" t="s">
        <v>17</v>
      </c>
      <c r="E160" s="138">
        <v>1</v>
      </c>
      <c r="F160" s="139">
        <v>27.96</v>
      </c>
      <c r="G160" s="140">
        <f t="shared" si="54"/>
        <v>27.96</v>
      </c>
      <c r="H160" s="139">
        <v>0</v>
      </c>
      <c r="I160" s="141">
        <f t="shared" si="36"/>
        <v>0</v>
      </c>
      <c r="J160" s="142">
        <f t="shared" si="55"/>
        <v>27.96</v>
      </c>
      <c r="K160" s="57">
        <v>24.1</v>
      </c>
      <c r="L160" s="119"/>
      <c r="M160" s="58">
        <v>28.25</v>
      </c>
      <c r="N160" s="6">
        <f t="shared" si="48"/>
        <v>27.96</v>
      </c>
      <c r="O160" s="188">
        <f t="shared" si="49"/>
        <v>0.28999999999999915</v>
      </c>
      <c r="P160" s="5"/>
      <c r="Q160" s="5"/>
      <c r="R160" s="5"/>
      <c r="S160" s="230">
        <f t="shared" si="50"/>
        <v>0</v>
      </c>
      <c r="T160" s="241">
        <v>0</v>
      </c>
      <c r="U160" s="232">
        <f t="shared" si="51"/>
        <v>0</v>
      </c>
      <c r="V160" s="230">
        <f t="shared" si="52"/>
        <v>0</v>
      </c>
      <c r="W160" s="231">
        <v>0</v>
      </c>
      <c r="X160" s="232">
        <f t="shared" si="53"/>
        <v>0</v>
      </c>
      <c r="Y160" s="230">
        <f t="shared" si="56"/>
        <v>0</v>
      </c>
      <c r="Z160" s="241">
        <v>0</v>
      </c>
      <c r="AA160" s="232">
        <f t="shared" si="57"/>
        <v>0</v>
      </c>
      <c r="AB160" s="274">
        <f t="shared" si="58"/>
        <v>0</v>
      </c>
      <c r="AC160" s="286">
        <v>1</v>
      </c>
    </row>
    <row r="161" spans="1:29" ht="25.5">
      <c r="A161" s="136" t="s">
        <v>444</v>
      </c>
      <c r="B161" s="136" t="s">
        <v>262</v>
      </c>
      <c r="C161" s="137" t="s">
        <v>52</v>
      </c>
      <c r="D161" s="137" t="s">
        <v>17</v>
      </c>
      <c r="E161" s="138">
        <v>1</v>
      </c>
      <c r="F161" s="139">
        <v>5.54</v>
      </c>
      <c r="G161" s="140">
        <f t="shared" si="54"/>
        <v>5.54</v>
      </c>
      <c r="H161" s="139">
        <v>0</v>
      </c>
      <c r="I161" s="141">
        <f t="shared" si="36"/>
        <v>0</v>
      </c>
      <c r="J161" s="142">
        <f t="shared" si="55"/>
        <v>5.54</v>
      </c>
      <c r="K161" s="57">
        <v>4.78</v>
      </c>
      <c r="L161" s="119"/>
      <c r="M161" s="58">
        <v>5.56</v>
      </c>
      <c r="N161" s="6">
        <f t="shared" si="48"/>
        <v>5.54</v>
      </c>
      <c r="O161" s="188">
        <f t="shared" si="49"/>
        <v>0.019999999999999574</v>
      </c>
      <c r="P161" s="5"/>
      <c r="Q161" s="5"/>
      <c r="R161" s="5"/>
      <c r="S161" s="230">
        <f t="shared" si="50"/>
        <v>0</v>
      </c>
      <c r="T161" s="241">
        <v>0</v>
      </c>
      <c r="U161" s="232">
        <f t="shared" si="51"/>
        <v>0</v>
      </c>
      <c r="V161" s="230">
        <f t="shared" si="52"/>
        <v>0</v>
      </c>
      <c r="W161" s="231">
        <v>0</v>
      </c>
      <c r="X161" s="232">
        <f t="shared" si="53"/>
        <v>0</v>
      </c>
      <c r="Y161" s="230">
        <f t="shared" si="56"/>
        <v>0</v>
      </c>
      <c r="Z161" s="241">
        <v>0</v>
      </c>
      <c r="AA161" s="232">
        <f t="shared" si="57"/>
        <v>0</v>
      </c>
      <c r="AB161" s="274">
        <f t="shared" si="58"/>
        <v>0</v>
      </c>
      <c r="AC161" s="286">
        <v>1</v>
      </c>
    </row>
    <row r="162" spans="1:29" ht="25.5">
      <c r="A162" s="136" t="s">
        <v>445</v>
      </c>
      <c r="B162" s="136" t="s">
        <v>263</v>
      </c>
      <c r="C162" s="137" t="s">
        <v>52</v>
      </c>
      <c r="D162" s="137" t="s">
        <v>17</v>
      </c>
      <c r="E162" s="138">
        <v>3</v>
      </c>
      <c r="F162" s="139">
        <v>70.99</v>
      </c>
      <c r="G162" s="140">
        <f t="shared" si="54"/>
        <v>212.96999999999997</v>
      </c>
      <c r="H162" s="139">
        <v>0</v>
      </c>
      <c r="I162" s="141">
        <f aca="true" t="shared" si="59" ref="I162:I190">H162*E162</f>
        <v>0</v>
      </c>
      <c r="J162" s="142">
        <f t="shared" si="55"/>
        <v>212.96999999999997</v>
      </c>
      <c r="K162" s="57">
        <v>61.2</v>
      </c>
      <c r="L162" s="119"/>
      <c r="M162" s="58">
        <v>213.27</v>
      </c>
      <c r="N162" s="6">
        <f t="shared" si="48"/>
        <v>212.96999999999997</v>
      </c>
      <c r="O162" s="188">
        <f t="shared" si="49"/>
        <v>0.3000000000000398</v>
      </c>
      <c r="P162" s="5"/>
      <c r="Q162" s="5"/>
      <c r="R162" s="5"/>
      <c r="S162" s="230">
        <f t="shared" si="50"/>
        <v>0</v>
      </c>
      <c r="T162" s="241">
        <v>0</v>
      </c>
      <c r="U162" s="232">
        <f t="shared" si="51"/>
        <v>0</v>
      </c>
      <c r="V162" s="230">
        <f t="shared" si="52"/>
        <v>0</v>
      </c>
      <c r="W162" s="231">
        <v>0</v>
      </c>
      <c r="X162" s="232">
        <f t="shared" si="53"/>
        <v>0</v>
      </c>
      <c r="Y162" s="230">
        <f t="shared" si="56"/>
        <v>0</v>
      </c>
      <c r="Z162" s="241">
        <v>0</v>
      </c>
      <c r="AA162" s="232">
        <f t="shared" si="57"/>
        <v>0</v>
      </c>
      <c r="AB162" s="274">
        <f t="shared" si="58"/>
        <v>0</v>
      </c>
      <c r="AC162" s="286">
        <v>1</v>
      </c>
    </row>
    <row r="163" spans="1:29" ht="12.75">
      <c r="A163" s="136" t="s">
        <v>446</v>
      </c>
      <c r="B163" s="136" t="s">
        <v>264</v>
      </c>
      <c r="C163" s="137" t="s">
        <v>52</v>
      </c>
      <c r="D163" s="137" t="s">
        <v>17</v>
      </c>
      <c r="E163" s="138">
        <v>12</v>
      </c>
      <c r="F163" s="139">
        <v>18.21</v>
      </c>
      <c r="G163" s="140">
        <f t="shared" si="54"/>
        <v>218.52</v>
      </c>
      <c r="H163" s="139">
        <v>0</v>
      </c>
      <c r="I163" s="141">
        <f t="shared" si="59"/>
        <v>0</v>
      </c>
      <c r="J163" s="142">
        <f t="shared" si="55"/>
        <v>218.52</v>
      </c>
      <c r="K163" s="57">
        <v>15.7</v>
      </c>
      <c r="L163" s="119"/>
      <c r="M163" s="58">
        <v>220.44</v>
      </c>
      <c r="N163" s="6">
        <f t="shared" si="48"/>
        <v>218.52</v>
      </c>
      <c r="O163" s="188">
        <f t="shared" si="49"/>
        <v>1.9199999999999875</v>
      </c>
      <c r="P163" s="5"/>
      <c r="Q163" s="5"/>
      <c r="R163" s="5"/>
      <c r="S163" s="230">
        <f t="shared" si="50"/>
        <v>0</v>
      </c>
      <c r="T163" s="241">
        <v>0</v>
      </c>
      <c r="U163" s="232">
        <f t="shared" si="51"/>
        <v>0</v>
      </c>
      <c r="V163" s="230">
        <f t="shared" si="52"/>
        <v>0</v>
      </c>
      <c r="W163" s="231">
        <v>0</v>
      </c>
      <c r="X163" s="232">
        <f t="shared" si="53"/>
        <v>0</v>
      </c>
      <c r="Y163" s="230">
        <f t="shared" si="56"/>
        <v>0</v>
      </c>
      <c r="Z163" s="241">
        <v>0</v>
      </c>
      <c r="AA163" s="232">
        <f t="shared" si="57"/>
        <v>0</v>
      </c>
      <c r="AB163" s="274">
        <f t="shared" si="58"/>
        <v>0</v>
      </c>
      <c r="AC163" s="286">
        <v>1</v>
      </c>
    </row>
    <row r="164" spans="1:29" ht="12.75">
      <c r="A164" s="136" t="s">
        <v>447</v>
      </c>
      <c r="B164" s="136" t="s">
        <v>265</v>
      </c>
      <c r="C164" s="137" t="s">
        <v>52</v>
      </c>
      <c r="D164" s="137" t="s">
        <v>17</v>
      </c>
      <c r="E164" s="138">
        <v>1</v>
      </c>
      <c r="F164" s="139">
        <v>27.84</v>
      </c>
      <c r="G164" s="140">
        <f t="shared" si="54"/>
        <v>27.84</v>
      </c>
      <c r="H164" s="139">
        <v>0</v>
      </c>
      <c r="I164" s="141">
        <f t="shared" si="59"/>
        <v>0</v>
      </c>
      <c r="J164" s="142">
        <f t="shared" si="55"/>
        <v>27.84</v>
      </c>
      <c r="K164" s="57">
        <v>24</v>
      </c>
      <c r="L164" s="119"/>
      <c r="M164" s="58">
        <v>28.96</v>
      </c>
      <c r="N164" s="6">
        <f t="shared" si="48"/>
        <v>27.84</v>
      </c>
      <c r="O164" s="188">
        <f t="shared" si="49"/>
        <v>1.120000000000001</v>
      </c>
      <c r="P164" s="5"/>
      <c r="Q164" s="5"/>
      <c r="R164" s="5"/>
      <c r="S164" s="230">
        <f t="shared" si="50"/>
        <v>0</v>
      </c>
      <c r="T164" s="241">
        <v>0</v>
      </c>
      <c r="U164" s="232">
        <f t="shared" si="51"/>
        <v>0</v>
      </c>
      <c r="V164" s="230">
        <f t="shared" si="52"/>
        <v>0</v>
      </c>
      <c r="W164" s="231">
        <v>0</v>
      </c>
      <c r="X164" s="232">
        <f t="shared" si="53"/>
        <v>0</v>
      </c>
      <c r="Y164" s="230">
        <f t="shared" si="56"/>
        <v>0</v>
      </c>
      <c r="Z164" s="241">
        <v>0</v>
      </c>
      <c r="AA164" s="232">
        <f t="shared" si="57"/>
        <v>0</v>
      </c>
      <c r="AB164" s="274">
        <f t="shared" si="58"/>
        <v>0</v>
      </c>
      <c r="AC164" s="286">
        <v>1</v>
      </c>
    </row>
    <row r="165" spans="1:29" ht="12.75">
      <c r="A165" s="136" t="s">
        <v>448</v>
      </c>
      <c r="B165" s="136" t="s">
        <v>266</v>
      </c>
      <c r="C165" s="137" t="s">
        <v>52</v>
      </c>
      <c r="D165" s="137" t="s">
        <v>17</v>
      </c>
      <c r="E165" s="138">
        <v>6</v>
      </c>
      <c r="F165" s="139">
        <v>2.38</v>
      </c>
      <c r="G165" s="140">
        <f t="shared" si="54"/>
        <v>14.28</v>
      </c>
      <c r="H165" s="139">
        <v>0</v>
      </c>
      <c r="I165" s="141">
        <f t="shared" si="59"/>
        <v>0</v>
      </c>
      <c r="J165" s="142">
        <f t="shared" si="55"/>
        <v>14.28</v>
      </c>
      <c r="K165" s="57">
        <v>2.05</v>
      </c>
      <c r="L165" s="119"/>
      <c r="M165" s="58">
        <v>14.34</v>
      </c>
      <c r="N165" s="6">
        <f t="shared" si="48"/>
        <v>14.28</v>
      </c>
      <c r="O165" s="188">
        <f t="shared" si="49"/>
        <v>0.0600000000000005</v>
      </c>
      <c r="P165" s="5"/>
      <c r="Q165" s="5"/>
      <c r="R165" s="5"/>
      <c r="S165" s="230">
        <f t="shared" si="50"/>
        <v>0</v>
      </c>
      <c r="T165" s="241">
        <v>0</v>
      </c>
      <c r="U165" s="232">
        <f t="shared" si="51"/>
        <v>0</v>
      </c>
      <c r="V165" s="230">
        <f t="shared" si="52"/>
        <v>0</v>
      </c>
      <c r="W165" s="231">
        <v>0</v>
      </c>
      <c r="X165" s="232">
        <f t="shared" si="53"/>
        <v>0</v>
      </c>
      <c r="Y165" s="230">
        <f t="shared" si="56"/>
        <v>0</v>
      </c>
      <c r="Z165" s="241">
        <v>0</v>
      </c>
      <c r="AA165" s="232">
        <f t="shared" si="57"/>
        <v>0</v>
      </c>
      <c r="AB165" s="274">
        <f t="shared" si="58"/>
        <v>0</v>
      </c>
      <c r="AC165" s="286">
        <v>1</v>
      </c>
    </row>
    <row r="166" spans="1:29" ht="25.5">
      <c r="A166" s="136" t="s">
        <v>449</v>
      </c>
      <c r="B166" s="136" t="s">
        <v>267</v>
      </c>
      <c r="C166" s="137" t="s">
        <v>52</v>
      </c>
      <c r="D166" s="137" t="s">
        <v>17</v>
      </c>
      <c r="E166" s="138">
        <v>1</v>
      </c>
      <c r="F166" s="139">
        <v>88.74</v>
      </c>
      <c r="G166" s="140">
        <f t="shared" si="54"/>
        <v>88.74</v>
      </c>
      <c r="H166" s="139">
        <v>0</v>
      </c>
      <c r="I166" s="141">
        <f t="shared" si="59"/>
        <v>0</v>
      </c>
      <c r="J166" s="142">
        <f t="shared" si="55"/>
        <v>88.74</v>
      </c>
      <c r="K166" s="57">
        <v>76.5</v>
      </c>
      <c r="L166" s="119"/>
      <c r="M166" s="58">
        <v>88.99</v>
      </c>
      <c r="N166" s="6">
        <f t="shared" si="48"/>
        <v>88.74</v>
      </c>
      <c r="O166" s="188">
        <f t="shared" si="49"/>
        <v>0.25</v>
      </c>
      <c r="P166" s="5"/>
      <c r="Q166" s="5"/>
      <c r="R166" s="5"/>
      <c r="S166" s="230">
        <f t="shared" si="50"/>
        <v>0</v>
      </c>
      <c r="T166" s="241">
        <v>0</v>
      </c>
      <c r="U166" s="232">
        <f t="shared" si="51"/>
        <v>0</v>
      </c>
      <c r="V166" s="230">
        <f t="shared" si="52"/>
        <v>0</v>
      </c>
      <c r="W166" s="231">
        <v>0</v>
      </c>
      <c r="X166" s="232">
        <f t="shared" si="53"/>
        <v>0</v>
      </c>
      <c r="Y166" s="230">
        <f t="shared" si="56"/>
        <v>0</v>
      </c>
      <c r="Z166" s="241">
        <v>0</v>
      </c>
      <c r="AA166" s="232">
        <f t="shared" si="57"/>
        <v>0</v>
      </c>
      <c r="AB166" s="274">
        <f t="shared" si="58"/>
        <v>0</v>
      </c>
      <c r="AC166" s="286">
        <v>1</v>
      </c>
    </row>
    <row r="167" spans="1:29" s="8" customFormat="1" ht="12.75">
      <c r="A167" s="144" t="s">
        <v>268</v>
      </c>
      <c r="B167" s="144" t="s">
        <v>269</v>
      </c>
      <c r="C167" s="154"/>
      <c r="D167" s="154"/>
      <c r="E167" s="155"/>
      <c r="F167" s="156"/>
      <c r="G167" s="157"/>
      <c r="H167" s="143"/>
      <c r="I167" s="158"/>
      <c r="J167" s="159"/>
      <c r="K167" s="24"/>
      <c r="L167" s="114"/>
      <c r="M167" s="122"/>
      <c r="N167" s="6">
        <f t="shared" si="48"/>
        <v>0</v>
      </c>
      <c r="O167" s="188">
        <f t="shared" si="49"/>
        <v>0</v>
      </c>
      <c r="P167" s="24"/>
      <c r="Q167" s="24"/>
      <c r="R167" s="24"/>
      <c r="S167" s="242"/>
      <c r="T167" s="242"/>
      <c r="U167" s="242"/>
      <c r="V167" s="230"/>
      <c r="W167" s="231"/>
      <c r="X167" s="232"/>
      <c r="Y167" s="230"/>
      <c r="Z167" s="241"/>
      <c r="AA167" s="232"/>
      <c r="AB167" s="275"/>
      <c r="AC167" s="286"/>
    </row>
    <row r="168" spans="1:29" ht="25.5">
      <c r="A168" s="136" t="s">
        <v>450</v>
      </c>
      <c r="B168" s="136" t="s">
        <v>270</v>
      </c>
      <c r="C168" s="137" t="s">
        <v>52</v>
      </c>
      <c r="D168" s="137" t="s">
        <v>13</v>
      </c>
      <c r="E168" s="138">
        <v>6.74</v>
      </c>
      <c r="F168" s="139">
        <v>249.4</v>
      </c>
      <c r="G168" s="140">
        <f>F168*E168</f>
        <v>1680.9560000000001</v>
      </c>
      <c r="H168" s="139">
        <v>0</v>
      </c>
      <c r="I168" s="141">
        <f t="shared" si="59"/>
        <v>0</v>
      </c>
      <c r="J168" s="142">
        <f>G168+I168</f>
        <v>1680.9560000000001</v>
      </c>
      <c r="K168" s="5">
        <v>215</v>
      </c>
      <c r="M168" s="58">
        <v>1685</v>
      </c>
      <c r="N168" s="6">
        <f t="shared" si="48"/>
        <v>1680.9560000000001</v>
      </c>
      <c r="O168" s="188">
        <f t="shared" si="49"/>
        <v>4.043999999999869</v>
      </c>
      <c r="P168" s="5"/>
      <c r="Q168" s="5"/>
      <c r="R168" s="5"/>
      <c r="S168" s="230">
        <f t="shared" si="50"/>
        <v>0</v>
      </c>
      <c r="T168" s="241">
        <v>0</v>
      </c>
      <c r="U168" s="232">
        <f t="shared" si="51"/>
        <v>0</v>
      </c>
      <c r="V168" s="230">
        <f t="shared" si="52"/>
        <v>0</v>
      </c>
      <c r="W168" s="231">
        <v>0</v>
      </c>
      <c r="X168" s="232">
        <f t="shared" si="53"/>
        <v>0</v>
      </c>
      <c r="Y168" s="230">
        <f>Z168*E168</f>
        <v>0</v>
      </c>
      <c r="Z168" s="241">
        <v>0</v>
      </c>
      <c r="AA168" s="232">
        <f>Z168*J168</f>
        <v>0</v>
      </c>
      <c r="AB168" s="274">
        <f>T168+W168+Z168</f>
        <v>0</v>
      </c>
      <c r="AC168" s="286">
        <v>1</v>
      </c>
    </row>
    <row r="169" spans="1:29" s="8" customFormat="1" ht="12.75">
      <c r="A169" s="144" t="s">
        <v>271</v>
      </c>
      <c r="B169" s="144" t="s">
        <v>204</v>
      </c>
      <c r="C169" s="154"/>
      <c r="D169" s="154"/>
      <c r="E169" s="155"/>
      <c r="F169" s="156"/>
      <c r="G169" s="157"/>
      <c r="H169" s="143"/>
      <c r="I169" s="158"/>
      <c r="J169" s="159"/>
      <c r="K169" s="24"/>
      <c r="L169" s="114"/>
      <c r="M169" s="122"/>
      <c r="N169" s="6">
        <f t="shared" si="48"/>
        <v>0</v>
      </c>
      <c r="O169" s="188">
        <f t="shared" si="49"/>
        <v>0</v>
      </c>
      <c r="P169" s="24"/>
      <c r="Q169" s="24"/>
      <c r="R169" s="24"/>
      <c r="S169" s="242"/>
      <c r="T169" s="242"/>
      <c r="U169" s="242"/>
      <c r="V169" s="230"/>
      <c r="W169" s="231"/>
      <c r="X169" s="232"/>
      <c r="Y169" s="230"/>
      <c r="Z169" s="241"/>
      <c r="AA169" s="232"/>
      <c r="AB169" s="275"/>
      <c r="AC169" s="286"/>
    </row>
    <row r="170" spans="1:29" ht="25.5">
      <c r="A170" s="136" t="s">
        <v>451</v>
      </c>
      <c r="B170" s="136" t="s">
        <v>272</v>
      </c>
      <c r="C170" s="137" t="s">
        <v>23</v>
      </c>
      <c r="D170" s="137" t="s">
        <v>17</v>
      </c>
      <c r="E170" s="138">
        <v>1</v>
      </c>
      <c r="F170" s="139">
        <v>295.84</v>
      </c>
      <c r="G170" s="140">
        <f>F170*E170</f>
        <v>295.84</v>
      </c>
      <c r="H170" s="139">
        <v>5.8</v>
      </c>
      <c r="I170" s="141">
        <f t="shared" si="59"/>
        <v>5.8</v>
      </c>
      <c r="J170" s="142">
        <f>G170+I170</f>
        <v>301.64</v>
      </c>
      <c r="K170" s="57">
        <f>0.85*'ORÇAMENTO CRICIUMA FINAL (2)'!F228</f>
        <v>255.03400000000002</v>
      </c>
      <c r="L170" s="113">
        <v>5</v>
      </c>
      <c r="M170" s="58">
        <v>328</v>
      </c>
      <c r="N170" s="6">
        <f t="shared" si="48"/>
        <v>301.64</v>
      </c>
      <c r="O170" s="188">
        <f t="shared" si="49"/>
        <v>26.360000000000014</v>
      </c>
      <c r="P170" s="5"/>
      <c r="Q170" s="5"/>
      <c r="R170" s="5"/>
      <c r="S170" s="230">
        <f t="shared" si="50"/>
        <v>0</v>
      </c>
      <c r="T170" s="241">
        <v>0</v>
      </c>
      <c r="U170" s="232">
        <f t="shared" si="51"/>
        <v>0</v>
      </c>
      <c r="V170" s="230">
        <f t="shared" si="52"/>
        <v>0</v>
      </c>
      <c r="W170" s="231">
        <v>0</v>
      </c>
      <c r="X170" s="232">
        <f t="shared" si="53"/>
        <v>0</v>
      </c>
      <c r="Y170" s="230">
        <f>Z170*E170</f>
        <v>0</v>
      </c>
      <c r="Z170" s="241">
        <v>0</v>
      </c>
      <c r="AA170" s="232">
        <f>Z170*J170</f>
        <v>0</v>
      </c>
      <c r="AB170" s="274">
        <f>T170+W170+Z170</f>
        <v>0</v>
      </c>
      <c r="AC170" s="286">
        <v>1</v>
      </c>
    </row>
    <row r="171" spans="1:29" ht="12.75">
      <c r="A171" s="136" t="s">
        <v>452</v>
      </c>
      <c r="B171" s="136" t="s">
        <v>273</v>
      </c>
      <c r="C171" s="137" t="s">
        <v>52</v>
      </c>
      <c r="D171" s="137" t="s">
        <v>17</v>
      </c>
      <c r="E171" s="138">
        <v>2</v>
      </c>
      <c r="F171" s="139">
        <v>169.94</v>
      </c>
      <c r="G171" s="140">
        <f>F171*E171</f>
        <v>339.88</v>
      </c>
      <c r="H171" s="139">
        <v>0</v>
      </c>
      <c r="I171" s="141">
        <f t="shared" si="59"/>
        <v>0</v>
      </c>
      <c r="J171" s="142">
        <f>G171+I171</f>
        <v>339.88</v>
      </c>
      <c r="K171" s="57">
        <v>146.5</v>
      </c>
      <c r="M171" s="58">
        <v>340</v>
      </c>
      <c r="N171" s="6">
        <f t="shared" si="48"/>
        <v>339.88</v>
      </c>
      <c r="O171" s="188">
        <f t="shared" si="49"/>
        <v>0.12000000000000455</v>
      </c>
      <c r="P171" s="5"/>
      <c r="Q171" s="5"/>
      <c r="R171" s="5"/>
      <c r="S171" s="230">
        <f t="shared" si="50"/>
        <v>0</v>
      </c>
      <c r="T171" s="241">
        <v>0</v>
      </c>
      <c r="U171" s="232">
        <f t="shared" si="51"/>
        <v>0</v>
      </c>
      <c r="V171" s="230">
        <f t="shared" si="52"/>
        <v>0</v>
      </c>
      <c r="W171" s="231">
        <v>0</v>
      </c>
      <c r="X171" s="232">
        <f t="shared" si="53"/>
        <v>0</v>
      </c>
      <c r="Y171" s="230">
        <f>Z171*E171</f>
        <v>0</v>
      </c>
      <c r="Z171" s="241">
        <v>0</v>
      </c>
      <c r="AA171" s="232">
        <f>Z171*J171</f>
        <v>0</v>
      </c>
      <c r="AB171" s="274">
        <f>T171+W171+Z171</f>
        <v>0</v>
      </c>
      <c r="AC171" s="286">
        <v>1</v>
      </c>
    </row>
    <row r="172" spans="1:29" ht="12.75">
      <c r="A172" s="136"/>
      <c r="B172" s="145" t="s">
        <v>466</v>
      </c>
      <c r="C172" s="137"/>
      <c r="D172" s="137"/>
      <c r="E172" s="138"/>
      <c r="F172" s="146"/>
      <c r="G172" s="140"/>
      <c r="H172" s="139">
        <v>0</v>
      </c>
      <c r="I172" s="141"/>
      <c r="J172" s="147">
        <f>SUM(J148:J171)</f>
        <v>6912.666000000001</v>
      </c>
      <c r="M172" s="122">
        <v>6980.95</v>
      </c>
      <c r="N172" s="12">
        <f t="shared" si="48"/>
        <v>6912.666000000001</v>
      </c>
      <c r="O172" s="189">
        <f t="shared" si="49"/>
        <v>68.28399999999874</v>
      </c>
      <c r="P172" s="5"/>
      <c r="Q172" s="5"/>
      <c r="R172" s="5"/>
      <c r="S172" s="5"/>
      <c r="T172" s="5"/>
      <c r="U172" s="236">
        <f>SUM(U148:U171)</f>
        <v>0</v>
      </c>
      <c r="V172" s="5"/>
      <c r="W172" s="5"/>
      <c r="X172" s="236">
        <f>SUM(X148:X171)</f>
        <v>0</v>
      </c>
      <c r="Y172" s="5"/>
      <c r="Z172" s="5"/>
      <c r="AA172" s="236">
        <f>SUM(AA148:AA171)</f>
        <v>0</v>
      </c>
      <c r="AB172" s="273"/>
      <c r="AC172" s="286"/>
    </row>
    <row r="173" spans="1:29" s="8" customFormat="1" ht="12.75">
      <c r="A173" s="131" t="s">
        <v>274</v>
      </c>
      <c r="B173" s="131" t="s">
        <v>275</v>
      </c>
      <c r="C173" s="160"/>
      <c r="D173" s="160"/>
      <c r="E173" s="161"/>
      <c r="F173" s="162"/>
      <c r="G173" s="163"/>
      <c r="H173" s="149"/>
      <c r="I173" s="164"/>
      <c r="J173" s="250">
        <f>(U182+X182)/J182</f>
        <v>0</v>
      </c>
      <c r="K173" s="165"/>
      <c r="L173" s="165"/>
      <c r="M173" s="165"/>
      <c r="N173" s="165"/>
      <c r="O173" s="165"/>
      <c r="P173" s="165"/>
      <c r="Q173" s="165"/>
      <c r="R173" s="165"/>
      <c r="S173" s="30"/>
      <c r="T173" s="30"/>
      <c r="U173" s="30"/>
      <c r="V173" s="30"/>
      <c r="W173" s="30"/>
      <c r="X173" s="30"/>
      <c r="Y173" s="30"/>
      <c r="Z173" s="30"/>
      <c r="AA173" s="30"/>
      <c r="AB173" s="276"/>
      <c r="AC173" s="288"/>
    </row>
    <row r="174" spans="1:29" s="8" customFormat="1" ht="12.75">
      <c r="A174" s="144" t="s">
        <v>276</v>
      </c>
      <c r="B174" s="144" t="s">
        <v>277</v>
      </c>
      <c r="C174" s="154"/>
      <c r="D174" s="154"/>
      <c r="E174" s="155"/>
      <c r="F174" s="156"/>
      <c r="G174" s="157"/>
      <c r="H174" s="143"/>
      <c r="I174" s="158"/>
      <c r="J174" s="159"/>
      <c r="K174" s="24"/>
      <c r="L174" s="114"/>
      <c r="M174" s="122"/>
      <c r="N174" s="6">
        <f t="shared" si="48"/>
        <v>0</v>
      </c>
      <c r="O174" s="188">
        <f t="shared" si="49"/>
        <v>0</v>
      </c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77"/>
      <c r="AC174" s="286"/>
    </row>
    <row r="175" spans="1:29" ht="25.5">
      <c r="A175" s="136" t="s">
        <v>453</v>
      </c>
      <c r="B175" s="136" t="s">
        <v>278</v>
      </c>
      <c r="C175" s="137" t="s">
        <v>23</v>
      </c>
      <c r="D175" s="137" t="s">
        <v>17</v>
      </c>
      <c r="E175" s="138">
        <v>1</v>
      </c>
      <c r="F175" s="139">
        <v>73.23</v>
      </c>
      <c r="G175" s="140">
        <f>F175*E175</f>
        <v>73.23</v>
      </c>
      <c r="H175" s="139">
        <v>25.63</v>
      </c>
      <c r="I175" s="141">
        <f t="shared" si="59"/>
        <v>25.63</v>
      </c>
      <c r="J175" s="142">
        <f>G175+I175</f>
        <v>98.86</v>
      </c>
      <c r="K175" s="57">
        <v>63.13</v>
      </c>
      <c r="L175" s="121">
        <f>0.35*K175</f>
        <v>22.0955</v>
      </c>
      <c r="M175" s="58">
        <v>101.52</v>
      </c>
      <c r="N175" s="6">
        <f t="shared" si="48"/>
        <v>98.86</v>
      </c>
      <c r="O175" s="188">
        <f t="shared" si="49"/>
        <v>2.6599999999999966</v>
      </c>
      <c r="P175" s="5"/>
      <c r="Q175" s="5"/>
      <c r="R175" s="5"/>
      <c r="S175" s="230">
        <f aca="true" t="shared" si="60" ref="S175:S181">E175*T175</f>
        <v>0</v>
      </c>
      <c r="T175" s="241">
        <v>0</v>
      </c>
      <c r="U175" s="232">
        <f aca="true" t="shared" si="61" ref="U175:U181">T175*J175</f>
        <v>0</v>
      </c>
      <c r="V175" s="230">
        <f aca="true" t="shared" si="62" ref="V175:V181">W175*E175</f>
        <v>0</v>
      </c>
      <c r="W175" s="231">
        <v>0</v>
      </c>
      <c r="X175" s="232">
        <f aca="true" t="shared" si="63" ref="X175:X181">W175*J175</f>
        <v>0</v>
      </c>
      <c r="Y175" s="230">
        <f>Z175*E175</f>
        <v>0</v>
      </c>
      <c r="Z175" s="241">
        <v>0</v>
      </c>
      <c r="AA175" s="232">
        <f>Z175*J175</f>
        <v>0</v>
      </c>
      <c r="AB175" s="274">
        <f>T175+W175+Z175</f>
        <v>0</v>
      </c>
      <c r="AC175" s="286">
        <v>1</v>
      </c>
    </row>
    <row r="176" spans="1:29" ht="25.5">
      <c r="A176" s="136"/>
      <c r="B176" s="136" t="s">
        <v>279</v>
      </c>
      <c r="C176" s="137" t="s">
        <v>23</v>
      </c>
      <c r="D176" s="137" t="s">
        <v>17</v>
      </c>
      <c r="E176" s="138">
        <v>1</v>
      </c>
      <c r="F176" s="139">
        <v>38.28</v>
      </c>
      <c r="G176" s="140">
        <f>F176*E176</f>
        <v>38.28</v>
      </c>
      <c r="H176" s="139">
        <v>34.8</v>
      </c>
      <c r="I176" s="141">
        <f t="shared" si="59"/>
        <v>34.8</v>
      </c>
      <c r="J176" s="142">
        <f>G176+I176</f>
        <v>73.08</v>
      </c>
      <c r="K176" s="57">
        <v>33</v>
      </c>
      <c r="L176" s="121">
        <v>30</v>
      </c>
      <c r="M176" s="58">
        <v>90.03</v>
      </c>
      <c r="N176" s="6">
        <f t="shared" si="48"/>
        <v>73.08</v>
      </c>
      <c r="O176" s="188">
        <f t="shared" si="49"/>
        <v>16.950000000000003</v>
      </c>
      <c r="P176" s="5"/>
      <c r="Q176" s="5"/>
      <c r="R176" s="5"/>
      <c r="S176" s="230">
        <f t="shared" si="60"/>
        <v>0</v>
      </c>
      <c r="T176" s="241">
        <v>0</v>
      </c>
      <c r="U176" s="232">
        <f t="shared" si="61"/>
        <v>0</v>
      </c>
      <c r="V176" s="230">
        <f t="shared" si="62"/>
        <v>0</v>
      </c>
      <c r="W176" s="231">
        <v>0</v>
      </c>
      <c r="X176" s="232">
        <f t="shared" si="63"/>
        <v>0</v>
      </c>
      <c r="Y176" s="230">
        <f>Z176*E176</f>
        <v>0</v>
      </c>
      <c r="Z176" s="241">
        <v>0</v>
      </c>
      <c r="AA176" s="232">
        <f>Z176*J176</f>
        <v>0</v>
      </c>
      <c r="AB176" s="274">
        <f>T176+W176+Z176</f>
        <v>0</v>
      </c>
      <c r="AC176" s="286">
        <v>1</v>
      </c>
    </row>
    <row r="177" spans="1:29" s="8" customFormat="1" ht="12.75">
      <c r="A177" s="144" t="s">
        <v>280</v>
      </c>
      <c r="B177" s="144" t="s">
        <v>281</v>
      </c>
      <c r="C177" s="154"/>
      <c r="D177" s="154"/>
      <c r="E177" s="155"/>
      <c r="F177" s="156"/>
      <c r="G177" s="157"/>
      <c r="H177" s="143"/>
      <c r="I177" s="158"/>
      <c r="J177" s="159"/>
      <c r="K177" s="57"/>
      <c r="L177" s="121"/>
      <c r="M177" s="122"/>
      <c r="N177" s="6">
        <f t="shared" si="48"/>
        <v>0</v>
      </c>
      <c r="O177" s="188">
        <f t="shared" si="49"/>
        <v>0</v>
      </c>
      <c r="P177" s="24"/>
      <c r="Q177" s="24"/>
      <c r="R177" s="24"/>
      <c r="S177" s="242"/>
      <c r="T177" s="242"/>
      <c r="U177" s="242"/>
      <c r="V177" s="230"/>
      <c r="W177" s="231"/>
      <c r="X177" s="232"/>
      <c r="Y177" s="230"/>
      <c r="Z177" s="241"/>
      <c r="AA177" s="232"/>
      <c r="AB177" s="275"/>
      <c r="AC177" s="286"/>
    </row>
    <row r="178" spans="1:29" ht="38.25">
      <c r="A178" s="136" t="s">
        <v>455</v>
      </c>
      <c r="B178" s="136" t="s">
        <v>282</v>
      </c>
      <c r="C178" s="137" t="s">
        <v>52</v>
      </c>
      <c r="D178" s="137" t="s">
        <v>17</v>
      </c>
      <c r="E178" s="138">
        <v>2</v>
      </c>
      <c r="F178" s="139">
        <v>111.36</v>
      </c>
      <c r="G178" s="140">
        <f>F178*E178</f>
        <v>222.72</v>
      </c>
      <c r="H178" s="139">
        <v>0</v>
      </c>
      <c r="I178" s="141">
        <f t="shared" si="59"/>
        <v>0</v>
      </c>
      <c r="J178" s="142">
        <f>G178+I178</f>
        <v>222.72</v>
      </c>
      <c r="K178" s="57">
        <v>96</v>
      </c>
      <c r="L178" s="121"/>
      <c r="M178" s="58">
        <v>222.8</v>
      </c>
      <c r="N178" s="6">
        <f t="shared" si="48"/>
        <v>222.72</v>
      </c>
      <c r="O178" s="188">
        <f t="shared" si="49"/>
        <v>0.0800000000000125</v>
      </c>
      <c r="P178" s="5"/>
      <c r="Q178" s="5"/>
      <c r="R178" s="5"/>
      <c r="S178" s="230">
        <f t="shared" si="60"/>
        <v>0</v>
      </c>
      <c r="T178" s="241">
        <v>0</v>
      </c>
      <c r="U178" s="232">
        <f t="shared" si="61"/>
        <v>0</v>
      </c>
      <c r="V178" s="230">
        <f t="shared" si="62"/>
        <v>0</v>
      </c>
      <c r="W178" s="231">
        <v>0</v>
      </c>
      <c r="X178" s="232">
        <f t="shared" si="63"/>
        <v>0</v>
      </c>
      <c r="Y178" s="230">
        <f>Z178*E178</f>
        <v>0</v>
      </c>
      <c r="Z178" s="241">
        <v>0</v>
      </c>
      <c r="AA178" s="232">
        <f>Z178*J178</f>
        <v>0</v>
      </c>
      <c r="AB178" s="274">
        <f>T178+W178+Z178</f>
        <v>0</v>
      </c>
      <c r="AC178" s="286">
        <v>1</v>
      </c>
    </row>
    <row r="179" spans="1:29" ht="38.25">
      <c r="A179" s="136" t="s">
        <v>456</v>
      </c>
      <c r="B179" s="136" t="s">
        <v>283</v>
      </c>
      <c r="C179" s="137" t="s">
        <v>52</v>
      </c>
      <c r="D179" s="137" t="s">
        <v>17</v>
      </c>
      <c r="E179" s="138">
        <v>1</v>
      </c>
      <c r="F179" s="139">
        <v>57.65</v>
      </c>
      <c r="G179" s="140">
        <f>F179*E179</f>
        <v>57.65</v>
      </c>
      <c r="H179" s="139">
        <v>0</v>
      </c>
      <c r="I179" s="141">
        <f t="shared" si="59"/>
        <v>0</v>
      </c>
      <c r="J179" s="142">
        <f>G179+I179</f>
        <v>57.65</v>
      </c>
      <c r="K179" s="57">
        <v>49.7</v>
      </c>
      <c r="L179" s="121"/>
      <c r="M179" s="58">
        <v>57.9</v>
      </c>
      <c r="N179" s="6">
        <f t="shared" si="48"/>
        <v>57.65</v>
      </c>
      <c r="O179" s="188">
        <f t="shared" si="49"/>
        <v>0.25</v>
      </c>
      <c r="P179" s="5"/>
      <c r="Q179" s="5"/>
      <c r="R179" s="5"/>
      <c r="S179" s="230">
        <f t="shared" si="60"/>
        <v>0</v>
      </c>
      <c r="T179" s="241">
        <v>0</v>
      </c>
      <c r="U179" s="232">
        <f t="shared" si="61"/>
        <v>0</v>
      </c>
      <c r="V179" s="230">
        <f t="shared" si="62"/>
        <v>0</v>
      </c>
      <c r="W179" s="231">
        <v>0</v>
      </c>
      <c r="X179" s="232">
        <f t="shared" si="63"/>
        <v>0</v>
      </c>
      <c r="Y179" s="230">
        <f>Z179*E179</f>
        <v>0</v>
      </c>
      <c r="Z179" s="241">
        <v>0</v>
      </c>
      <c r="AA179" s="232">
        <f>Z179*J179</f>
        <v>0</v>
      </c>
      <c r="AB179" s="274">
        <f>T179+W179+Z179</f>
        <v>0</v>
      </c>
      <c r="AC179" s="286">
        <v>1</v>
      </c>
    </row>
    <row r="180" spans="1:29" s="8" customFormat="1" ht="12.75">
      <c r="A180" s="144" t="s">
        <v>284</v>
      </c>
      <c r="B180" s="144" t="s">
        <v>285</v>
      </c>
      <c r="C180" s="154"/>
      <c r="D180" s="154"/>
      <c r="E180" s="155"/>
      <c r="F180" s="156"/>
      <c r="G180" s="157"/>
      <c r="H180" s="143"/>
      <c r="I180" s="158"/>
      <c r="J180" s="159"/>
      <c r="K180" s="57"/>
      <c r="L180" s="121"/>
      <c r="M180" s="122"/>
      <c r="N180" s="6">
        <f t="shared" si="48"/>
        <v>0</v>
      </c>
      <c r="O180" s="188">
        <f t="shared" si="49"/>
        <v>0</v>
      </c>
      <c r="P180" s="24"/>
      <c r="Q180" s="24"/>
      <c r="R180" s="24"/>
      <c r="S180" s="242"/>
      <c r="T180" s="242"/>
      <c r="U180" s="242"/>
      <c r="V180" s="230"/>
      <c r="W180" s="231"/>
      <c r="X180" s="232"/>
      <c r="Y180" s="230"/>
      <c r="Z180" s="241"/>
      <c r="AA180" s="232"/>
      <c r="AB180" s="275"/>
      <c r="AC180" s="286"/>
    </row>
    <row r="181" spans="1:29" ht="25.5">
      <c r="A181" s="136" t="s">
        <v>457</v>
      </c>
      <c r="B181" s="136" t="s">
        <v>286</v>
      </c>
      <c r="C181" s="137" t="s">
        <v>52</v>
      </c>
      <c r="D181" s="137" t="s">
        <v>17</v>
      </c>
      <c r="E181" s="138">
        <v>5</v>
      </c>
      <c r="F181" s="139">
        <v>57.88</v>
      </c>
      <c r="G181" s="140">
        <f>F181*E181</f>
        <v>289.40000000000003</v>
      </c>
      <c r="H181" s="139">
        <v>0</v>
      </c>
      <c r="I181" s="141">
        <f t="shared" si="59"/>
        <v>0</v>
      </c>
      <c r="J181" s="142">
        <f>G181+I181</f>
        <v>289.40000000000003</v>
      </c>
      <c r="K181" s="57">
        <v>49.9</v>
      </c>
      <c r="L181" s="121"/>
      <c r="M181" s="58">
        <v>289.5</v>
      </c>
      <c r="N181" s="6">
        <f t="shared" si="48"/>
        <v>289.40000000000003</v>
      </c>
      <c r="O181" s="188">
        <f t="shared" si="49"/>
        <v>0.0999999999999659</v>
      </c>
      <c r="P181" s="5"/>
      <c r="Q181" s="5"/>
      <c r="R181" s="5"/>
      <c r="S181" s="230">
        <f t="shared" si="60"/>
        <v>0</v>
      </c>
      <c r="T181" s="241">
        <v>0</v>
      </c>
      <c r="U181" s="232">
        <f t="shared" si="61"/>
        <v>0</v>
      </c>
      <c r="V181" s="230">
        <f t="shared" si="62"/>
        <v>0</v>
      </c>
      <c r="W181" s="231">
        <v>0</v>
      </c>
      <c r="X181" s="232">
        <f t="shared" si="63"/>
        <v>0</v>
      </c>
      <c r="Y181" s="230">
        <f>Z181*E181</f>
        <v>0</v>
      </c>
      <c r="Z181" s="241">
        <v>0</v>
      </c>
      <c r="AA181" s="232">
        <f>Z181*J181</f>
        <v>0</v>
      </c>
      <c r="AB181" s="274">
        <f>T181+W181+Z181</f>
        <v>0</v>
      </c>
      <c r="AC181" s="286">
        <v>1</v>
      </c>
    </row>
    <row r="182" spans="1:29" ht="12.75">
      <c r="A182" s="136"/>
      <c r="B182" s="145" t="s">
        <v>466</v>
      </c>
      <c r="C182" s="137"/>
      <c r="D182" s="137"/>
      <c r="E182" s="138"/>
      <c r="F182" s="146"/>
      <c r="G182" s="140"/>
      <c r="H182" s="143"/>
      <c r="I182" s="141"/>
      <c r="J182" s="147">
        <f>SUM(J175:J181)</f>
        <v>741.71</v>
      </c>
      <c r="K182" s="57"/>
      <c r="M182" s="122">
        <v>761.75</v>
      </c>
      <c r="N182" s="12">
        <f t="shared" si="48"/>
        <v>741.71</v>
      </c>
      <c r="O182" s="189">
        <f t="shared" si="49"/>
        <v>20.039999999999964</v>
      </c>
      <c r="P182" s="5"/>
      <c r="Q182" s="5"/>
      <c r="R182" s="5"/>
      <c r="S182" s="5"/>
      <c r="T182" s="5"/>
      <c r="U182" s="236">
        <f>SUM(U175:U181)</f>
        <v>0</v>
      </c>
      <c r="V182" s="5"/>
      <c r="W182" s="5"/>
      <c r="X182" s="236">
        <f>SUM(X175:X181)</f>
        <v>0</v>
      </c>
      <c r="Y182" s="5"/>
      <c r="Z182" s="5"/>
      <c r="AA182" s="236">
        <f>SUM(AA175:AA181)</f>
        <v>0</v>
      </c>
      <c r="AB182" s="273"/>
      <c r="AC182" s="286"/>
    </row>
    <row r="183" spans="1:29" s="8" customFormat="1" ht="12.75">
      <c r="A183" s="131" t="s">
        <v>287</v>
      </c>
      <c r="B183" s="131" t="s">
        <v>288</v>
      </c>
      <c r="C183" s="160"/>
      <c r="D183" s="160"/>
      <c r="E183" s="161"/>
      <c r="F183" s="162"/>
      <c r="G183" s="163"/>
      <c r="H183" s="149"/>
      <c r="I183" s="164"/>
      <c r="J183" s="250">
        <f>(U187+X187)/J187</f>
        <v>0</v>
      </c>
      <c r="K183" s="165"/>
      <c r="L183" s="165"/>
      <c r="M183" s="165"/>
      <c r="N183" s="165"/>
      <c r="O183" s="165"/>
      <c r="P183" s="165"/>
      <c r="Q183" s="165"/>
      <c r="R183" s="165"/>
      <c r="S183" s="30"/>
      <c r="T183" s="30"/>
      <c r="U183" s="30"/>
      <c r="V183" s="30"/>
      <c r="W183" s="30"/>
      <c r="X183" s="30"/>
      <c r="Y183" s="30"/>
      <c r="Z183" s="30"/>
      <c r="AA183" s="30"/>
      <c r="AB183" s="276"/>
      <c r="AC183" s="288"/>
    </row>
    <row r="184" spans="1:29" s="8" customFormat="1" ht="12.75">
      <c r="A184" s="144" t="s">
        <v>289</v>
      </c>
      <c r="B184" s="144" t="s">
        <v>290</v>
      </c>
      <c r="C184" s="154"/>
      <c r="D184" s="154"/>
      <c r="E184" s="155"/>
      <c r="F184" s="156"/>
      <c r="G184" s="157"/>
      <c r="H184" s="143"/>
      <c r="I184" s="158"/>
      <c r="J184" s="159"/>
      <c r="K184" s="57"/>
      <c r="L184" s="114"/>
      <c r="M184" s="122"/>
      <c r="N184" s="6">
        <f t="shared" si="48"/>
        <v>0</v>
      </c>
      <c r="O184" s="188">
        <f t="shared" si="49"/>
        <v>0</v>
      </c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77"/>
      <c r="AC184" s="286"/>
    </row>
    <row r="185" spans="1:29" ht="38.25">
      <c r="A185" s="136" t="s">
        <v>458</v>
      </c>
      <c r="B185" s="136" t="s">
        <v>291</v>
      </c>
      <c r="C185" s="137" t="s">
        <v>52</v>
      </c>
      <c r="D185" s="137" t="s">
        <v>13</v>
      </c>
      <c r="E185" s="138">
        <v>3.08</v>
      </c>
      <c r="F185" s="139">
        <v>73.95</v>
      </c>
      <c r="G185" s="140">
        <f>F185*E185</f>
        <v>227.76600000000002</v>
      </c>
      <c r="H185" s="139">
        <v>0</v>
      </c>
      <c r="I185" s="141">
        <f t="shared" si="59"/>
        <v>0</v>
      </c>
      <c r="J185" s="142">
        <f>G185+I185</f>
        <v>227.76600000000002</v>
      </c>
      <c r="K185" s="57">
        <f>0.85*'ORÇAMENTO CRICIUMA FINAL (2)'!F243</f>
        <v>63.75</v>
      </c>
      <c r="L185" s="120"/>
      <c r="M185" s="58">
        <v>231</v>
      </c>
      <c r="N185" s="6">
        <f t="shared" si="48"/>
        <v>227.76600000000002</v>
      </c>
      <c r="O185" s="188">
        <f t="shared" si="49"/>
        <v>3.2339999999999804</v>
      </c>
      <c r="P185" s="5"/>
      <c r="Q185" s="5"/>
      <c r="R185" s="5"/>
      <c r="S185" s="230">
        <f>E185*T185</f>
        <v>0</v>
      </c>
      <c r="T185" s="241">
        <v>0</v>
      </c>
      <c r="U185" s="232">
        <f>T185*J185</f>
        <v>0</v>
      </c>
      <c r="V185" s="230">
        <f>W185*E185</f>
        <v>0</v>
      </c>
      <c r="W185" s="231">
        <v>0</v>
      </c>
      <c r="X185" s="232">
        <f>W185*J185</f>
        <v>0</v>
      </c>
      <c r="Y185" s="230">
        <f>Z185*E185</f>
        <v>0</v>
      </c>
      <c r="Z185" s="241">
        <v>0</v>
      </c>
      <c r="AA185" s="232">
        <f>Z185*J185</f>
        <v>0</v>
      </c>
      <c r="AB185" s="274">
        <f>T185+W185+Z185</f>
        <v>0</v>
      </c>
      <c r="AC185" s="286">
        <v>1</v>
      </c>
    </row>
    <row r="186" spans="1:29" ht="51">
      <c r="A186" s="136" t="s">
        <v>459</v>
      </c>
      <c r="B186" s="136" t="s">
        <v>292</v>
      </c>
      <c r="C186" s="137" t="s">
        <v>52</v>
      </c>
      <c r="D186" s="137" t="s">
        <v>13</v>
      </c>
      <c r="E186" s="138">
        <v>0.18</v>
      </c>
      <c r="F186" s="139">
        <v>147.9</v>
      </c>
      <c r="G186" s="140">
        <f>F186*E186</f>
        <v>26.622</v>
      </c>
      <c r="H186" s="139">
        <v>0</v>
      </c>
      <c r="I186" s="141">
        <f t="shared" si="59"/>
        <v>0</v>
      </c>
      <c r="J186" s="142">
        <f>G186+I186</f>
        <v>26.622</v>
      </c>
      <c r="K186" s="57">
        <f>0.85*'ORÇAMENTO CRICIUMA FINAL (2)'!F244</f>
        <v>127.5</v>
      </c>
      <c r="L186" s="120"/>
      <c r="M186" s="58">
        <v>27</v>
      </c>
      <c r="N186" s="6">
        <f t="shared" si="48"/>
        <v>26.622</v>
      </c>
      <c r="O186" s="188">
        <f t="shared" si="49"/>
        <v>0.3780000000000001</v>
      </c>
      <c r="P186" s="5"/>
      <c r="Q186" s="5"/>
      <c r="R186" s="5"/>
      <c r="S186" s="230">
        <f>E186*T186</f>
        <v>0</v>
      </c>
      <c r="T186" s="241">
        <v>0</v>
      </c>
      <c r="U186" s="232">
        <f>T186*J186</f>
        <v>0</v>
      </c>
      <c r="V186" s="230">
        <f>W186*E186</f>
        <v>0</v>
      </c>
      <c r="W186" s="231">
        <v>0</v>
      </c>
      <c r="X186" s="232">
        <f>W186*J186</f>
        <v>0</v>
      </c>
      <c r="Y186" s="230">
        <f>Z186*E186</f>
        <v>0</v>
      </c>
      <c r="Z186" s="241">
        <v>0</v>
      </c>
      <c r="AA186" s="232">
        <f>Z186*J186</f>
        <v>0</v>
      </c>
      <c r="AB186" s="274">
        <f>T186+W186+Z186</f>
        <v>0</v>
      </c>
      <c r="AC186" s="286">
        <v>1</v>
      </c>
    </row>
    <row r="187" spans="1:29" ht="12.75">
      <c r="A187" s="136"/>
      <c r="B187" s="145" t="s">
        <v>466</v>
      </c>
      <c r="C187" s="137"/>
      <c r="D187" s="137"/>
      <c r="E187" s="138"/>
      <c r="F187" s="146"/>
      <c r="G187" s="140"/>
      <c r="H187" s="143"/>
      <c r="I187" s="141"/>
      <c r="J187" s="147">
        <f>SUM(J185:J186)</f>
        <v>254.38800000000003</v>
      </c>
      <c r="M187" s="122">
        <v>258</v>
      </c>
      <c r="N187" s="12">
        <f t="shared" si="48"/>
        <v>254.38800000000003</v>
      </c>
      <c r="O187" s="189">
        <f t="shared" si="49"/>
        <v>3.6119999999999663</v>
      </c>
      <c r="P187" s="5"/>
      <c r="Q187" s="5"/>
      <c r="R187" s="5"/>
      <c r="S187" s="5"/>
      <c r="T187" s="5"/>
      <c r="U187" s="236">
        <f>SUM(U185:U186)</f>
        <v>0</v>
      </c>
      <c r="V187" s="5"/>
      <c r="W187" s="5"/>
      <c r="X187" s="236">
        <f>SUM(X185:X186)</f>
        <v>0</v>
      </c>
      <c r="Y187" s="5"/>
      <c r="Z187" s="5"/>
      <c r="AA187" s="236">
        <f>SUM(AA185:AA186)</f>
        <v>0</v>
      </c>
      <c r="AB187" s="273"/>
      <c r="AC187" s="286"/>
    </row>
    <row r="188" spans="1:29" s="8" customFormat="1" ht="12.75">
      <c r="A188" s="131" t="s">
        <v>293</v>
      </c>
      <c r="B188" s="131" t="s">
        <v>294</v>
      </c>
      <c r="C188" s="160"/>
      <c r="D188" s="160"/>
      <c r="E188" s="161"/>
      <c r="F188" s="162"/>
      <c r="G188" s="163"/>
      <c r="H188" s="149"/>
      <c r="I188" s="164"/>
      <c r="J188" s="250">
        <f>(U191+X191)/J191</f>
        <v>0</v>
      </c>
      <c r="K188" s="165"/>
      <c r="L188" s="165"/>
      <c r="M188" s="165"/>
      <c r="N188" s="165"/>
      <c r="O188" s="165"/>
      <c r="P188" s="165"/>
      <c r="Q188" s="165"/>
      <c r="R188" s="165"/>
      <c r="S188" s="30"/>
      <c r="T188" s="30"/>
      <c r="U188" s="30"/>
      <c r="V188" s="30"/>
      <c r="W188" s="30"/>
      <c r="X188" s="30"/>
      <c r="Y188" s="30"/>
      <c r="Z188" s="30"/>
      <c r="AA188" s="30"/>
      <c r="AB188" s="276"/>
      <c r="AC188" s="288"/>
    </row>
    <row r="189" spans="1:29" s="8" customFormat="1" ht="12.75">
      <c r="A189" s="144" t="s">
        <v>295</v>
      </c>
      <c r="B189" s="144" t="s">
        <v>296</v>
      </c>
      <c r="C189" s="154"/>
      <c r="D189" s="154"/>
      <c r="E189" s="155"/>
      <c r="F189" s="156"/>
      <c r="G189" s="157"/>
      <c r="H189" s="143"/>
      <c r="I189" s="158"/>
      <c r="J189" s="159"/>
      <c r="K189" s="24"/>
      <c r="L189" s="114"/>
      <c r="M189" s="122"/>
      <c r="N189" s="6">
        <f t="shared" si="48"/>
        <v>0</v>
      </c>
      <c r="O189" s="188">
        <f t="shared" si="49"/>
        <v>0</v>
      </c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77"/>
      <c r="AC189" s="289"/>
    </row>
    <row r="190" spans="1:29" ht="13.5" thickBot="1">
      <c r="A190" s="136" t="s">
        <v>460</v>
      </c>
      <c r="B190" s="136" t="s">
        <v>297</v>
      </c>
      <c r="C190" s="137" t="s">
        <v>23</v>
      </c>
      <c r="D190" s="137" t="s">
        <v>13</v>
      </c>
      <c r="E190" s="138">
        <v>390.69</v>
      </c>
      <c r="F190" s="139">
        <v>0.35</v>
      </c>
      <c r="G190" s="140">
        <f>F190*E190</f>
        <v>136.7415</v>
      </c>
      <c r="H190" s="139">
        <v>3.71</v>
      </c>
      <c r="I190" s="141">
        <f t="shared" si="59"/>
        <v>1449.4599</v>
      </c>
      <c r="J190" s="142">
        <f>G190+I190</f>
        <v>1586.2014000000001</v>
      </c>
      <c r="K190" s="5">
        <v>0.3</v>
      </c>
      <c r="L190" s="113">
        <v>3.2</v>
      </c>
      <c r="M190" s="58">
        <v>1590.1083</v>
      </c>
      <c r="N190" s="6">
        <f t="shared" si="48"/>
        <v>1586.2014000000001</v>
      </c>
      <c r="O190" s="188">
        <f t="shared" si="49"/>
        <v>3.9068999999999505</v>
      </c>
      <c r="P190" s="5"/>
      <c r="Q190" s="5"/>
      <c r="R190" s="5"/>
      <c r="S190" s="230">
        <f>E190*T190</f>
        <v>0</v>
      </c>
      <c r="T190" s="241">
        <v>0</v>
      </c>
      <c r="U190" s="232">
        <f>T190*J190</f>
        <v>0</v>
      </c>
      <c r="V190" s="230">
        <f>W190*E190</f>
        <v>0</v>
      </c>
      <c r="W190" s="231">
        <v>0</v>
      </c>
      <c r="X190" s="232">
        <f>W190*J190</f>
        <v>0</v>
      </c>
      <c r="Y190" s="230">
        <f>Z190*E190</f>
        <v>0</v>
      </c>
      <c r="Z190" s="241">
        <v>0</v>
      </c>
      <c r="AA190" s="232">
        <f>Z190*J190</f>
        <v>0</v>
      </c>
      <c r="AB190" s="274">
        <f>T190+W190+Z190</f>
        <v>0</v>
      </c>
      <c r="AC190" s="290">
        <v>1</v>
      </c>
    </row>
    <row r="191" spans="1:29" ht="13.5" thickTop="1">
      <c r="A191" s="136"/>
      <c r="B191" s="145" t="s">
        <v>466</v>
      </c>
      <c r="C191" s="137"/>
      <c r="D191" s="137"/>
      <c r="E191" s="138"/>
      <c r="F191" s="146"/>
      <c r="G191" s="140"/>
      <c r="H191" s="139">
        <v>0</v>
      </c>
      <c r="I191" s="141"/>
      <c r="J191" s="147">
        <f>SUM(J190)</f>
        <v>1586.2014000000001</v>
      </c>
      <c r="M191" s="122">
        <v>1590.1083</v>
      </c>
      <c r="N191" s="12">
        <f t="shared" si="48"/>
        <v>1586.2014000000001</v>
      </c>
      <c r="O191" s="189">
        <f t="shared" si="49"/>
        <v>3.9068999999999505</v>
      </c>
      <c r="P191" s="5"/>
      <c r="Q191" s="5"/>
      <c r="R191" s="5"/>
      <c r="S191" s="5"/>
      <c r="T191" s="5"/>
      <c r="U191" s="236">
        <f>SUM(U190)</f>
        <v>0</v>
      </c>
      <c r="V191" s="5"/>
      <c r="W191" s="5"/>
      <c r="X191" s="236">
        <f>SUM(X190)</f>
        <v>0</v>
      </c>
      <c r="Y191" s="5"/>
      <c r="Z191" s="5"/>
      <c r="AA191" s="236">
        <f>SUM(AA190)</f>
        <v>0</v>
      </c>
      <c r="AB191" s="240"/>
      <c r="AC191" s="280"/>
    </row>
    <row r="192" spans="1:29" ht="12.75">
      <c r="A192" s="136"/>
      <c r="B192" s="145"/>
      <c r="C192" s="137"/>
      <c r="D192" s="137"/>
      <c r="E192" s="138"/>
      <c r="F192" s="146"/>
      <c r="G192" s="140"/>
      <c r="H192" s="139"/>
      <c r="I192" s="141"/>
      <c r="J192" s="171"/>
      <c r="M192" s="122"/>
      <c r="N192" s="12"/>
      <c r="O192" s="189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240"/>
      <c r="AC192" s="260"/>
    </row>
    <row r="193" spans="1:29" ht="12.75">
      <c r="A193" s="172"/>
      <c r="B193" s="173" t="s">
        <v>573</v>
      </c>
      <c r="C193" s="174"/>
      <c r="D193" s="174"/>
      <c r="E193" s="175"/>
      <c r="F193" s="176"/>
      <c r="G193" s="207"/>
      <c r="H193" s="208"/>
      <c r="I193" s="179"/>
      <c r="J193" s="209"/>
      <c r="K193" s="210"/>
      <c r="L193" s="211"/>
      <c r="M193" s="212"/>
      <c r="N193" s="213"/>
      <c r="O193" s="214"/>
      <c r="P193" s="224">
        <f>P60+P64</f>
        <v>108377.23000000001</v>
      </c>
      <c r="Q193" s="225"/>
      <c r="R193" s="210"/>
      <c r="S193" s="5"/>
      <c r="T193" s="5"/>
      <c r="U193" s="245">
        <f>SUM(U191+U187+U182+U172+U145+U131+U127+U123+U116+U98+U91+U78+U69+U64+U60+U55+U33+U29+U20+U14)</f>
        <v>3618.0731400000004</v>
      </c>
      <c r="V193" s="5"/>
      <c r="W193" s="5"/>
      <c r="X193" s="245">
        <f>SUM(X191+X187+X182+X172+X145+X131+X127+X123+X116+X98+X91+X78+X69+X64+X60+X55+X33+X29+X20+X14)</f>
        <v>8528.799275401998</v>
      </c>
      <c r="Y193" s="5"/>
      <c r="Z193" s="5"/>
      <c r="AA193" s="245">
        <f>SUM(AA191+AA187+AA182+AA172+AA145+AA131+AA127+AA123+AA116+AA98+AA91+AA78+AA69+AA64+AA60+AA55+AA33+AA29+AA20+AA14)</f>
        <v>29486.431119</v>
      </c>
      <c r="AB193" s="240"/>
      <c r="AC193" s="260"/>
    </row>
    <row r="194" spans="1:29" ht="12.75">
      <c r="A194" s="172"/>
      <c r="B194" s="173" t="s">
        <v>574</v>
      </c>
      <c r="C194" s="174"/>
      <c r="D194" s="174"/>
      <c r="E194" s="175"/>
      <c r="F194" s="176"/>
      <c r="G194" s="207"/>
      <c r="H194" s="208">
        <v>0</v>
      </c>
      <c r="I194" s="179"/>
      <c r="J194" s="209"/>
      <c r="K194" s="210"/>
      <c r="L194" s="211"/>
      <c r="M194" s="215"/>
      <c r="N194" s="216">
        <f t="shared" si="48"/>
        <v>0</v>
      </c>
      <c r="O194" s="217">
        <f t="shared" si="49"/>
        <v>0</v>
      </c>
      <c r="P194" s="225"/>
      <c r="Q194" s="224">
        <f>Q60+Q64</f>
        <v>133832.78</v>
      </c>
      <c r="R194" s="210"/>
      <c r="S194" s="5"/>
      <c r="T194" s="5"/>
      <c r="U194" s="245">
        <f>U193*25%+U193</f>
        <v>4522.5914250000005</v>
      </c>
      <c r="V194" s="5"/>
      <c r="W194" s="5"/>
      <c r="X194" s="245">
        <f>X193*25%+X193</f>
        <v>10660.999094252496</v>
      </c>
      <c r="Y194" s="5"/>
      <c r="Z194" s="5"/>
      <c r="AA194" s="245">
        <f>AA193*25%+AA193</f>
        <v>36858.038898750005</v>
      </c>
      <c r="AB194" s="240"/>
      <c r="AC194" s="260"/>
    </row>
    <row r="195" spans="1:29" ht="12.75">
      <c r="A195" s="172"/>
      <c r="B195" s="173" t="s">
        <v>575</v>
      </c>
      <c r="C195" s="174"/>
      <c r="D195" s="174"/>
      <c r="E195" s="175"/>
      <c r="F195" s="176"/>
      <c r="G195" s="207"/>
      <c r="H195" s="208"/>
      <c r="I195" s="179"/>
      <c r="J195" s="180"/>
      <c r="K195" s="218"/>
      <c r="L195" s="219"/>
      <c r="M195" s="220"/>
      <c r="N195" s="38"/>
      <c r="O195" s="221"/>
      <c r="P195" s="222"/>
      <c r="Q195" s="223"/>
      <c r="R195" s="38">
        <f>Q194-P193</f>
        <v>25455.54999999999</v>
      </c>
      <c r="S195" s="5"/>
      <c r="T195" s="5"/>
      <c r="U195" s="5"/>
      <c r="V195" s="5"/>
      <c r="W195" s="5"/>
      <c r="X195" s="5"/>
      <c r="Y195" s="5"/>
      <c r="Z195" s="5"/>
      <c r="AA195" s="5"/>
      <c r="AB195" s="240"/>
      <c r="AC195" s="260"/>
    </row>
    <row r="196" spans="1:29" ht="12.75">
      <c r="A196" s="172"/>
      <c r="B196" s="173" t="s">
        <v>576</v>
      </c>
      <c r="C196" s="174"/>
      <c r="D196" s="174"/>
      <c r="E196" s="175"/>
      <c r="F196" s="176"/>
      <c r="G196" s="207"/>
      <c r="H196" s="208"/>
      <c r="I196" s="179"/>
      <c r="J196" s="180"/>
      <c r="K196" s="218"/>
      <c r="L196" s="219"/>
      <c r="M196" s="220"/>
      <c r="N196" s="38"/>
      <c r="O196" s="221"/>
      <c r="P196" s="222"/>
      <c r="Q196" s="223"/>
      <c r="R196" s="227">
        <f>R195*1.25</f>
        <v>31819.437499999985</v>
      </c>
      <c r="S196" s="5"/>
      <c r="T196" s="5"/>
      <c r="U196" s="5"/>
      <c r="V196" s="5"/>
      <c r="W196" s="5"/>
      <c r="X196" s="5"/>
      <c r="Y196" s="5"/>
      <c r="Z196" s="5"/>
      <c r="AA196" s="5"/>
      <c r="AB196" s="240"/>
      <c r="AC196" s="260"/>
    </row>
    <row r="197" spans="1:29" ht="13.5" thickBot="1">
      <c r="A197" s="172"/>
      <c r="B197" s="173" t="s">
        <v>304</v>
      </c>
      <c r="C197" s="174"/>
      <c r="D197" s="174"/>
      <c r="E197" s="175"/>
      <c r="F197" s="176"/>
      <c r="G197" s="177">
        <f>SUM(G14:G190)</f>
        <v>229836.58739999996</v>
      </c>
      <c r="H197" s="178"/>
      <c r="I197" s="179">
        <f>SUM(I14:I191)</f>
        <v>31559.1267</v>
      </c>
      <c r="J197" s="180">
        <f aca="true" t="shared" si="64" ref="J197:O197">SUM(J191+J187+J182+J172+J145+J131+J127+J123+J116+J98+J91+J78+J69+J64+J60+J55+J33+J29+J20+J14)</f>
        <v>261395.71410000004</v>
      </c>
      <c r="K197" s="180">
        <f t="shared" si="64"/>
        <v>0</v>
      </c>
      <c r="L197" s="180">
        <f t="shared" si="64"/>
        <v>0</v>
      </c>
      <c r="M197" s="180">
        <f t="shared" si="64"/>
        <v>281013.4378</v>
      </c>
      <c r="N197" s="180">
        <f t="shared" si="64"/>
        <v>261395.71410000004</v>
      </c>
      <c r="O197" s="180">
        <f t="shared" si="64"/>
        <v>19617.723699999995</v>
      </c>
      <c r="P197" s="303" t="s">
        <v>561</v>
      </c>
      <c r="Q197" s="304"/>
      <c r="R197" s="180">
        <f>J197+R195</f>
        <v>286851.26410000003</v>
      </c>
      <c r="S197" s="5"/>
      <c r="T197" s="5"/>
      <c r="U197" s="5"/>
      <c r="V197" s="5"/>
      <c r="W197" s="5"/>
      <c r="X197" s="5"/>
      <c r="Y197" s="5"/>
      <c r="Z197" s="5"/>
      <c r="AA197" s="5"/>
      <c r="AB197" s="240"/>
      <c r="AC197" s="260"/>
    </row>
    <row r="198" spans="1:29" ht="13.5" thickBot="1">
      <c r="A198" s="172"/>
      <c r="B198" s="173" t="s">
        <v>305</v>
      </c>
      <c r="C198" s="174"/>
      <c r="D198" s="174"/>
      <c r="E198" s="175"/>
      <c r="F198" s="176"/>
      <c r="G198" s="177">
        <f>G197*1.25</f>
        <v>287295.73425</v>
      </c>
      <c r="H198" s="178"/>
      <c r="I198" s="181">
        <f>I197*1.25</f>
        <v>39448.908375</v>
      </c>
      <c r="J198" s="197">
        <f aca="true" t="shared" si="65" ref="J198:O198">G198+I198</f>
        <v>326744.642625</v>
      </c>
      <c r="K198" s="182">
        <f t="shared" si="65"/>
        <v>326744.642625</v>
      </c>
      <c r="L198" s="182">
        <f t="shared" si="65"/>
        <v>366193.551</v>
      </c>
      <c r="M198" s="182">
        <f t="shared" si="65"/>
        <v>692938.193625</v>
      </c>
      <c r="N198" s="182">
        <f t="shared" si="65"/>
        <v>1019682.8362499999</v>
      </c>
      <c r="O198" s="196">
        <f t="shared" si="65"/>
        <v>1385876.38725</v>
      </c>
      <c r="P198" s="305" t="s">
        <v>562</v>
      </c>
      <c r="Q198" s="306"/>
      <c r="R198" s="197">
        <f>R197*1.25</f>
        <v>358564.08012500004</v>
      </c>
      <c r="S198" s="5"/>
      <c r="T198" s="5"/>
      <c r="U198" s="5"/>
      <c r="V198" s="5"/>
      <c r="W198" s="5"/>
      <c r="X198" s="5"/>
      <c r="Y198" s="5"/>
      <c r="Z198" s="5"/>
      <c r="AA198" s="5"/>
      <c r="AB198" s="240"/>
      <c r="AC198" s="260"/>
    </row>
    <row r="199" spans="1:29" ht="12.75">
      <c r="A199" s="136"/>
      <c r="B199" s="136"/>
      <c r="C199" s="137"/>
      <c r="D199" s="137"/>
      <c r="E199" s="138"/>
      <c r="F199" s="146"/>
      <c r="G199" s="140"/>
      <c r="H199" s="143"/>
      <c r="I199" s="141"/>
      <c r="J199" s="183"/>
      <c r="M199" s="58"/>
      <c r="N199" s="6">
        <f t="shared" si="48"/>
        <v>0</v>
      </c>
      <c r="O199" s="188">
        <f t="shared" si="49"/>
        <v>0</v>
      </c>
      <c r="P199" s="194"/>
      <c r="Q199" s="194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240"/>
      <c r="AC199" s="260"/>
    </row>
    <row r="200" spans="1:29" s="8" customFormat="1" ht="12.75">
      <c r="A200" s="131" t="s">
        <v>298</v>
      </c>
      <c r="B200" s="131" t="s">
        <v>299</v>
      </c>
      <c r="C200" s="160"/>
      <c r="D200" s="160"/>
      <c r="E200" s="161"/>
      <c r="F200" s="162"/>
      <c r="G200" s="163"/>
      <c r="H200" s="149"/>
      <c r="I200" s="164"/>
      <c r="J200" s="250">
        <f>(U204+X204)/J204</f>
        <v>0.0978</v>
      </c>
      <c r="K200" s="165"/>
      <c r="L200" s="165"/>
      <c r="M200" s="165"/>
      <c r="N200" s="165"/>
      <c r="O200" s="165"/>
      <c r="P200" s="165"/>
      <c r="Q200" s="165"/>
      <c r="R200" s="165"/>
      <c r="S200" s="30"/>
      <c r="T200" s="30"/>
      <c r="U200" s="30"/>
      <c r="V200" s="30"/>
      <c r="W200" s="30"/>
      <c r="X200" s="30"/>
      <c r="Y200" s="30"/>
      <c r="Z200" s="30"/>
      <c r="AA200" s="30"/>
      <c r="AB200" s="243"/>
      <c r="AC200" s="260"/>
    </row>
    <row r="201" spans="1:29" s="8" customFormat="1" ht="12.75">
      <c r="A201" s="144" t="s">
        <v>300</v>
      </c>
      <c r="B201" s="144" t="s">
        <v>306</v>
      </c>
      <c r="C201" s="154"/>
      <c r="D201" s="154"/>
      <c r="E201" s="155"/>
      <c r="F201" s="156"/>
      <c r="G201" s="157"/>
      <c r="H201" s="143"/>
      <c r="I201" s="158"/>
      <c r="J201" s="159"/>
      <c r="K201" s="24"/>
      <c r="L201" s="114"/>
      <c r="M201" s="122"/>
      <c r="N201" s="6">
        <f t="shared" si="48"/>
        <v>0</v>
      </c>
      <c r="O201" s="188">
        <f t="shared" si="49"/>
        <v>0</v>
      </c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4"/>
      <c r="AC201" s="260"/>
    </row>
    <row r="202" spans="1:29" ht="12.75">
      <c r="A202" s="136" t="s">
        <v>461</v>
      </c>
      <c r="B202" s="136" t="s">
        <v>301</v>
      </c>
      <c r="C202" s="137" t="s">
        <v>52</v>
      </c>
      <c r="D202" s="137" t="s">
        <v>302</v>
      </c>
      <c r="E202" s="138">
        <v>540</v>
      </c>
      <c r="F202" s="139">
        <v>7.6</v>
      </c>
      <c r="G202" s="140">
        <f>F202*E202</f>
        <v>4104</v>
      </c>
      <c r="H202" s="139">
        <v>0</v>
      </c>
      <c r="I202" s="141">
        <f>H202*E202</f>
        <v>0</v>
      </c>
      <c r="J202" s="142">
        <f>G202+I202</f>
        <v>4104</v>
      </c>
      <c r="K202" s="5">
        <v>6.55</v>
      </c>
      <c r="M202" s="58">
        <v>4109.4</v>
      </c>
      <c r="N202" s="6">
        <f t="shared" si="48"/>
        <v>4104</v>
      </c>
      <c r="O202" s="188">
        <f t="shared" si="49"/>
        <v>5.399999999999636</v>
      </c>
      <c r="P202" s="5"/>
      <c r="Q202" s="5"/>
      <c r="R202" s="5"/>
      <c r="S202" s="230">
        <f>E202*T202</f>
        <v>29.43</v>
      </c>
      <c r="T202" s="246">
        <v>0.0545</v>
      </c>
      <c r="U202" s="232">
        <f>T202*J202</f>
        <v>223.668</v>
      </c>
      <c r="V202" s="230">
        <f>W202*E202</f>
        <v>23.381999999999998</v>
      </c>
      <c r="W202" s="247">
        <v>0.0433</v>
      </c>
      <c r="X202" s="232">
        <f>W202*J202</f>
        <v>177.70319999999998</v>
      </c>
      <c r="Y202" s="230">
        <f>Z202*E202</f>
        <v>62.64</v>
      </c>
      <c r="Z202" s="254">
        <v>0.116</v>
      </c>
      <c r="AA202" s="232">
        <f>Z202*J202</f>
        <v>476.064</v>
      </c>
      <c r="AB202" s="233">
        <f>T202+W202+Z202</f>
        <v>0.2138</v>
      </c>
      <c r="AC202" s="260"/>
    </row>
    <row r="203" spans="1:29" ht="12.75">
      <c r="A203" s="136" t="s">
        <v>462</v>
      </c>
      <c r="B203" s="136" t="s">
        <v>303</v>
      </c>
      <c r="C203" s="137" t="s">
        <v>52</v>
      </c>
      <c r="D203" s="137" t="s">
        <v>302</v>
      </c>
      <c r="E203" s="138">
        <v>120</v>
      </c>
      <c r="F203" s="139">
        <v>58.35</v>
      </c>
      <c r="G203" s="140">
        <f>F203*E203</f>
        <v>7002</v>
      </c>
      <c r="H203" s="139">
        <v>0</v>
      </c>
      <c r="I203" s="141">
        <f>H203*E203</f>
        <v>0</v>
      </c>
      <c r="J203" s="142">
        <f>G203+I203</f>
        <v>7002</v>
      </c>
      <c r="K203" s="5">
        <v>50.3</v>
      </c>
      <c r="M203" s="58">
        <v>7022.4</v>
      </c>
      <c r="N203" s="6">
        <f t="shared" si="48"/>
        <v>7002</v>
      </c>
      <c r="O203" s="188">
        <f t="shared" si="49"/>
        <v>20.399999999999636</v>
      </c>
      <c r="P203" s="5"/>
      <c r="Q203" s="5"/>
      <c r="R203" s="5"/>
      <c r="S203" s="230">
        <f>E203*T203</f>
        <v>6.54</v>
      </c>
      <c r="T203" s="246">
        <v>0.0545</v>
      </c>
      <c r="U203" s="232">
        <f>T203*J203</f>
        <v>381.609</v>
      </c>
      <c r="V203" s="230">
        <f>W203*E203</f>
        <v>5.196</v>
      </c>
      <c r="W203" s="247">
        <v>0.0433</v>
      </c>
      <c r="X203" s="232">
        <f>W203*J203</f>
        <v>303.1866</v>
      </c>
      <c r="Y203" s="230">
        <f>Z203*E203</f>
        <v>13.92</v>
      </c>
      <c r="Z203" s="254">
        <v>0.116</v>
      </c>
      <c r="AA203" s="232">
        <f>Z203*J203</f>
        <v>812.2320000000001</v>
      </c>
      <c r="AB203" s="233">
        <f>T203+W203+Z203</f>
        <v>0.2138</v>
      </c>
      <c r="AC203" s="260"/>
    </row>
    <row r="204" spans="1:29" ht="13.5" thickBot="1">
      <c r="A204" s="136"/>
      <c r="B204" s="145" t="s">
        <v>466</v>
      </c>
      <c r="C204" s="137"/>
      <c r="D204" s="137"/>
      <c r="E204" s="136"/>
      <c r="F204" s="184"/>
      <c r="G204" s="185"/>
      <c r="H204" s="186"/>
      <c r="I204" s="187"/>
      <c r="J204" s="147">
        <f>SUM(J202:J203)</f>
        <v>11106</v>
      </c>
      <c r="M204" s="122">
        <v>11131.8</v>
      </c>
      <c r="N204" s="12">
        <f t="shared" si="48"/>
        <v>11106</v>
      </c>
      <c r="O204" s="189">
        <f t="shared" si="49"/>
        <v>25.799999999999272</v>
      </c>
      <c r="P204" s="5"/>
      <c r="Q204" s="5"/>
      <c r="R204" s="5"/>
      <c r="S204" s="5"/>
      <c r="T204" s="5"/>
      <c r="U204" s="236">
        <f>SUM(U202:U203)</f>
        <v>605.277</v>
      </c>
      <c r="V204" s="5"/>
      <c r="W204" s="5"/>
      <c r="X204" s="236">
        <f>SUM(X202:X203)</f>
        <v>480.8898</v>
      </c>
      <c r="Y204" s="5"/>
      <c r="Z204" s="5"/>
      <c r="AA204" s="236">
        <f>SUM(AA202:AA203)</f>
        <v>1288.296</v>
      </c>
      <c r="AB204" s="5"/>
      <c r="AC204" s="260"/>
    </row>
    <row r="205" spans="1:29" ht="12.75">
      <c r="A205" s="136"/>
      <c r="B205" s="136"/>
      <c r="C205" s="137"/>
      <c r="D205" s="137"/>
      <c r="E205" s="136"/>
      <c r="F205" s="136"/>
      <c r="G205" s="187"/>
      <c r="H205" s="135"/>
      <c r="I205" s="187"/>
      <c r="J205" s="263"/>
      <c r="K205" s="191"/>
      <c r="L205" s="261"/>
      <c r="M205" s="264"/>
      <c r="N205" s="265"/>
      <c r="O205" s="192">
        <f t="shared" si="49"/>
        <v>0</v>
      </c>
      <c r="P205" s="191"/>
      <c r="Q205" s="191"/>
      <c r="R205" s="191"/>
      <c r="S205" s="191"/>
      <c r="T205" s="5"/>
      <c r="U205" s="5"/>
      <c r="V205" s="5"/>
      <c r="W205" s="5"/>
      <c r="X205" s="5"/>
      <c r="Y205" s="5"/>
      <c r="Z205" s="5"/>
      <c r="AA205" s="5"/>
      <c r="AB205" s="5"/>
      <c r="AC205" s="260"/>
    </row>
    <row r="206" spans="1:29" ht="12.75">
      <c r="A206" s="41"/>
      <c r="B206" s="111" t="s">
        <v>471</v>
      </c>
      <c r="C206" s="112"/>
      <c r="D206" s="112"/>
      <c r="E206" s="43"/>
      <c r="F206" s="43"/>
      <c r="G206" s="44"/>
      <c r="H206" s="43"/>
      <c r="I206" s="46"/>
      <c r="J206" s="195">
        <f aca="true" t="shared" si="66" ref="J206:O206">J198+J204</f>
        <v>337850.642625</v>
      </c>
      <c r="K206" s="195">
        <f t="shared" si="66"/>
        <v>326744.642625</v>
      </c>
      <c r="L206" s="195">
        <f t="shared" si="66"/>
        <v>366193.551</v>
      </c>
      <c r="M206" s="195">
        <f t="shared" si="66"/>
        <v>704069.993625</v>
      </c>
      <c r="N206" s="195">
        <f t="shared" si="66"/>
        <v>1030788.8362499999</v>
      </c>
      <c r="O206" s="195">
        <f t="shared" si="66"/>
        <v>1385902.18725</v>
      </c>
      <c r="P206" s="302" t="s">
        <v>563</v>
      </c>
      <c r="Q206" s="302"/>
      <c r="R206" s="195">
        <f>R198+J204</f>
        <v>369670.08012500004</v>
      </c>
      <c r="S206" s="5"/>
      <c r="T206" s="5"/>
      <c r="U206" s="248">
        <f>U194+U204</f>
        <v>5127.868425000001</v>
      </c>
      <c r="V206" s="5"/>
      <c r="W206" s="5"/>
      <c r="X206" s="248">
        <f>X194+X204</f>
        <v>11141.888894252497</v>
      </c>
      <c r="Y206" s="5"/>
      <c r="Z206" s="5"/>
      <c r="AA206" s="248">
        <f>AA194+AA204</f>
        <v>38146.33489875001</v>
      </c>
      <c r="AB206" s="244">
        <f>(U206+X206+AA206)/R206</f>
        <v>0.14720177570119355</v>
      </c>
      <c r="AC206" s="260"/>
    </row>
    <row r="207" spans="1:19" ht="12.75">
      <c r="A207" s="291"/>
      <c r="J207" s="48"/>
      <c r="K207" s="47"/>
      <c r="L207" s="47"/>
      <c r="M207" s="47"/>
      <c r="N207" s="47"/>
      <c r="O207" s="262"/>
      <c r="P207" s="47"/>
      <c r="R207" s="47"/>
      <c r="S207" s="47"/>
    </row>
    <row r="208" spans="1:28" ht="12.75">
      <c r="A208" s="47"/>
      <c r="J208" s="48"/>
      <c r="K208" s="47"/>
      <c r="L208" s="47"/>
      <c r="M208" s="47"/>
      <c r="N208" s="47"/>
      <c r="O208" s="262"/>
      <c r="P208" s="47"/>
      <c r="R208" s="47"/>
      <c r="S208" s="47"/>
      <c r="AB208" s="9"/>
    </row>
    <row r="209" spans="10:28" ht="12.75">
      <c r="J209" s="48"/>
      <c r="K209" s="47"/>
      <c r="L209" s="47"/>
      <c r="M209" s="47"/>
      <c r="N209" s="47"/>
      <c r="O209" s="262"/>
      <c r="P209" s="47"/>
      <c r="R209" s="47"/>
      <c r="S209" s="47"/>
      <c r="AB209" s="257"/>
    </row>
    <row r="210" spans="10:19" ht="12.75">
      <c r="J210" s="48"/>
      <c r="K210" s="47"/>
      <c r="L210" s="47"/>
      <c r="M210" s="47"/>
      <c r="N210" s="47"/>
      <c r="O210" s="262"/>
      <c r="P210" s="47"/>
      <c r="R210" s="47"/>
      <c r="S210" s="47"/>
    </row>
    <row r="211" spans="10:19" ht="12.75">
      <c r="J211" s="48"/>
      <c r="K211" s="47"/>
      <c r="L211" s="47"/>
      <c r="M211" s="47"/>
      <c r="N211" s="47"/>
      <c r="O211" s="262"/>
      <c r="P211" s="47"/>
      <c r="R211" s="47"/>
      <c r="S211" s="47"/>
    </row>
    <row r="212" spans="8:27" ht="12.75">
      <c r="H212" s="130"/>
      <c r="J212" s="48"/>
      <c r="K212" s="47"/>
      <c r="L212" s="47"/>
      <c r="M212" s="47"/>
      <c r="N212" s="47"/>
      <c r="O212" s="262"/>
      <c r="P212" s="47"/>
      <c r="R212" s="47"/>
      <c r="S212" s="47"/>
      <c r="X212" s="9"/>
      <c r="Y212" s="9"/>
      <c r="Z212" s="9"/>
      <c r="AA212" s="9"/>
    </row>
    <row r="213" spans="2:19" ht="12.75">
      <c r="B213" s="129"/>
      <c r="J213" s="48"/>
      <c r="K213" s="47"/>
      <c r="L213" s="47"/>
      <c r="M213" s="47"/>
      <c r="N213" s="47"/>
      <c r="O213" s="262"/>
      <c r="P213" s="47"/>
      <c r="R213" s="47"/>
      <c r="S213" s="47"/>
    </row>
    <row r="214" spans="2:19" ht="12.75">
      <c r="B214" s="129"/>
      <c r="J214" s="48"/>
      <c r="K214" s="47"/>
      <c r="L214" s="47"/>
      <c r="M214" s="47"/>
      <c r="N214" s="47"/>
      <c r="O214" s="262"/>
      <c r="P214" s="47"/>
      <c r="R214" s="47"/>
      <c r="S214" s="47"/>
    </row>
    <row r="215" spans="10:19" ht="12.75">
      <c r="J215" s="48"/>
      <c r="K215" s="47"/>
      <c r="L215" s="47"/>
      <c r="M215" s="47"/>
      <c r="N215" s="47"/>
      <c r="O215" s="262"/>
      <c r="P215" s="47"/>
      <c r="R215" s="47"/>
      <c r="S215" s="47"/>
    </row>
    <row r="216" spans="2:19" ht="12.75">
      <c r="B216" s="129"/>
      <c r="J216" s="48"/>
      <c r="K216" s="47"/>
      <c r="L216" s="47"/>
      <c r="M216" s="47"/>
      <c r="N216" s="47"/>
      <c r="O216" s="262"/>
      <c r="P216" s="47"/>
      <c r="R216" s="47"/>
      <c r="S216" s="47"/>
    </row>
    <row r="217" spans="10:19" ht="12.75">
      <c r="J217" s="48"/>
      <c r="K217" s="47"/>
      <c r="L217" s="47"/>
      <c r="M217" s="47"/>
      <c r="N217" s="47"/>
      <c r="O217" s="262"/>
      <c r="P217" s="47"/>
      <c r="R217" s="47"/>
      <c r="S217" s="47"/>
    </row>
    <row r="218" spans="10:19" ht="12.75">
      <c r="J218" s="48"/>
      <c r="K218" s="47"/>
      <c r="L218" s="47"/>
      <c r="M218" s="47"/>
      <c r="N218" s="47"/>
      <c r="O218" s="262"/>
      <c r="P218" s="47"/>
      <c r="R218" s="47"/>
      <c r="S218" s="47"/>
    </row>
    <row r="219" spans="10:19" ht="12.75">
      <c r="J219" s="48"/>
      <c r="K219" s="47"/>
      <c r="L219" s="47"/>
      <c r="M219" s="47"/>
      <c r="N219" s="47"/>
      <c r="O219" s="262"/>
      <c r="P219" s="47"/>
      <c r="R219" s="47"/>
      <c r="S219" s="47"/>
    </row>
    <row r="220" spans="10:19" ht="12.75">
      <c r="J220" s="48"/>
      <c r="K220" s="47"/>
      <c r="L220" s="47"/>
      <c r="M220" s="47"/>
      <c r="N220" s="47"/>
      <c r="O220" s="262"/>
      <c r="P220" s="47"/>
      <c r="R220" s="47"/>
      <c r="S220" s="47"/>
    </row>
    <row r="221" spans="10:19" ht="12.75">
      <c r="J221" s="48"/>
      <c r="K221" s="47"/>
      <c r="L221" s="47"/>
      <c r="M221" s="47"/>
      <c r="N221" s="47"/>
      <c r="O221" s="262"/>
      <c r="P221" s="47"/>
      <c r="R221" s="47"/>
      <c r="S221" s="47"/>
    </row>
    <row r="222" spans="10:19" ht="12.75">
      <c r="J222" s="48"/>
      <c r="K222" s="47"/>
      <c r="L222" s="47"/>
      <c r="M222" s="47"/>
      <c r="N222" s="47"/>
      <c r="O222" s="262"/>
      <c r="P222" s="47"/>
      <c r="R222" s="47"/>
      <c r="S222" s="47"/>
    </row>
    <row r="223" spans="10:19" ht="12.75">
      <c r="J223" s="48"/>
      <c r="K223" s="47"/>
      <c r="L223" s="47"/>
      <c r="M223" s="47"/>
      <c r="N223" s="47"/>
      <c r="O223" s="262"/>
      <c r="P223" s="47"/>
      <c r="R223" s="47"/>
      <c r="S223" s="47"/>
    </row>
    <row r="224" spans="10:19" ht="12.75">
      <c r="J224" s="48"/>
      <c r="K224" s="47"/>
      <c r="L224" s="47"/>
      <c r="M224" s="47"/>
      <c r="N224" s="47"/>
      <c r="O224" s="262"/>
      <c r="P224" s="47"/>
      <c r="R224" s="47"/>
      <c r="S224" s="47"/>
    </row>
    <row r="225" spans="10:19" ht="12.75">
      <c r="J225" s="48"/>
      <c r="K225" s="47"/>
      <c r="L225" s="47"/>
      <c r="M225" s="47"/>
      <c r="N225" s="47"/>
      <c r="O225" s="262"/>
      <c r="P225" s="47"/>
      <c r="R225" s="47"/>
      <c r="S225" s="47"/>
    </row>
    <row r="226" spans="10:16" ht="12.75">
      <c r="J226" s="48"/>
      <c r="K226" s="47"/>
      <c r="L226" s="47"/>
      <c r="M226" s="47"/>
      <c r="N226" s="47"/>
      <c r="O226" s="262"/>
      <c r="P226" s="47"/>
    </row>
    <row r="227" spans="10:16" ht="12.75">
      <c r="J227" s="48"/>
      <c r="K227" s="47"/>
      <c r="L227" s="47"/>
      <c r="M227" s="47"/>
      <c r="N227" s="47"/>
      <c r="O227" s="262"/>
      <c r="P227" s="47"/>
    </row>
    <row r="228" spans="10:16" ht="12.75">
      <c r="J228" s="48"/>
      <c r="K228" s="47"/>
      <c r="L228" s="47"/>
      <c r="M228" s="47"/>
      <c r="N228" s="47"/>
      <c r="O228" s="262"/>
      <c r="P228" s="47"/>
    </row>
    <row r="229" spans="10:16" ht="12.75">
      <c r="J229" s="48"/>
      <c r="K229" s="47"/>
      <c r="L229" s="47"/>
      <c r="M229" s="47"/>
      <c r="N229" s="47"/>
      <c r="O229" s="262"/>
      <c r="P229" s="47"/>
    </row>
    <row r="230" spans="10:16" ht="12.75">
      <c r="J230" s="48"/>
      <c r="K230" s="47"/>
      <c r="L230" s="47"/>
      <c r="M230" s="47"/>
      <c r="N230" s="47"/>
      <c r="O230" s="262"/>
      <c r="P230" s="47"/>
    </row>
    <row r="231" spans="10:16" ht="12.75">
      <c r="J231" s="48"/>
      <c r="K231" s="47"/>
      <c r="L231" s="47"/>
      <c r="M231" s="47"/>
      <c r="N231" s="47"/>
      <c r="O231" s="262"/>
      <c r="P231" s="47"/>
    </row>
    <row r="232" spans="10:16" ht="12.75">
      <c r="J232" s="48"/>
      <c r="K232" s="47"/>
      <c r="L232" s="47"/>
      <c r="M232" s="47"/>
      <c r="N232" s="47"/>
      <c r="O232" s="262"/>
      <c r="P232" s="47"/>
    </row>
    <row r="233" spans="10:16" ht="12.75">
      <c r="J233" s="48"/>
      <c r="K233" s="47"/>
      <c r="L233" s="47"/>
      <c r="M233" s="47"/>
      <c r="N233" s="47"/>
      <c r="O233" s="262"/>
      <c r="P233" s="47"/>
    </row>
    <row r="234" spans="10:16" ht="12.75">
      <c r="J234" s="48"/>
      <c r="K234" s="47"/>
      <c r="L234" s="47"/>
      <c r="M234" s="47"/>
      <c r="N234" s="47"/>
      <c r="O234" s="262"/>
      <c r="P234" s="47"/>
    </row>
    <row r="235" spans="10:16" ht="12.75">
      <c r="J235" s="48"/>
      <c r="K235" s="47"/>
      <c r="L235" s="47"/>
      <c r="M235" s="47"/>
      <c r="N235" s="47"/>
      <c r="O235" s="262"/>
      <c r="P235" s="47"/>
    </row>
    <row r="236" spans="10:16" ht="12.75">
      <c r="J236" s="48"/>
      <c r="K236" s="47"/>
      <c r="L236" s="47"/>
      <c r="M236" s="47"/>
      <c r="N236" s="47"/>
      <c r="O236" s="262"/>
      <c r="P236" s="47"/>
    </row>
    <row r="237" spans="10:16" ht="12.75">
      <c r="J237" s="48"/>
      <c r="K237" s="47"/>
      <c r="L237" s="47"/>
      <c r="M237" s="47"/>
      <c r="N237" s="47"/>
      <c r="O237" s="262"/>
      <c r="P237" s="47"/>
    </row>
    <row r="238" spans="10:16" ht="12.75">
      <c r="J238" s="48"/>
      <c r="K238" s="47"/>
      <c r="L238" s="47"/>
      <c r="M238" s="47"/>
      <c r="N238" s="47"/>
      <c r="O238" s="262"/>
      <c r="P238" s="47"/>
    </row>
    <row r="239" spans="10:16" ht="12.75">
      <c r="J239" s="48"/>
      <c r="K239" s="47"/>
      <c r="L239" s="47"/>
      <c r="M239" s="47"/>
      <c r="N239" s="47"/>
      <c r="O239" s="262"/>
      <c r="P239" s="47"/>
    </row>
    <row r="240" spans="10:16" ht="12.75">
      <c r="J240" s="48"/>
      <c r="K240" s="47"/>
      <c r="L240" s="47"/>
      <c r="M240" s="47"/>
      <c r="N240" s="47"/>
      <c r="O240" s="262"/>
      <c r="P240" s="47"/>
    </row>
    <row r="241" spans="10:16" ht="12.75">
      <c r="J241" s="48"/>
      <c r="K241" s="47"/>
      <c r="L241" s="47"/>
      <c r="M241" s="47"/>
      <c r="N241" s="47"/>
      <c r="O241" s="262"/>
      <c r="P241" s="47"/>
    </row>
    <row r="242" spans="10:16" ht="12.75">
      <c r="J242" s="48"/>
      <c r="K242" s="47"/>
      <c r="L242" s="47"/>
      <c r="M242" s="47"/>
      <c r="N242" s="47"/>
      <c r="O242" s="262"/>
      <c r="P242" s="47"/>
    </row>
    <row r="243" spans="10:16" ht="12.75">
      <c r="J243" s="48"/>
      <c r="K243" s="47"/>
      <c r="L243" s="47"/>
      <c r="M243" s="47"/>
      <c r="N243" s="47"/>
      <c r="O243" s="262"/>
      <c r="P243" s="47"/>
    </row>
    <row r="244" spans="10:16" ht="12.75">
      <c r="J244" s="48"/>
      <c r="K244" s="47"/>
      <c r="L244" s="47"/>
      <c r="M244" s="47"/>
      <c r="N244" s="47"/>
      <c r="O244" s="262"/>
      <c r="P244" s="47"/>
    </row>
    <row r="245" spans="10:16" ht="12.75">
      <c r="J245" s="48"/>
      <c r="K245" s="47"/>
      <c r="L245" s="47"/>
      <c r="M245" s="47"/>
      <c r="N245" s="47"/>
      <c r="O245" s="262"/>
      <c r="P245" s="47"/>
    </row>
    <row r="246" spans="10:16" ht="12.75">
      <c r="J246" s="48"/>
      <c r="K246" s="47"/>
      <c r="L246" s="47"/>
      <c r="M246" s="47"/>
      <c r="N246" s="47"/>
      <c r="O246" s="262"/>
      <c r="P246" s="47"/>
    </row>
    <row r="247" spans="10:16" ht="12.75">
      <c r="J247" s="48"/>
      <c r="K247" s="47"/>
      <c r="L247" s="47"/>
      <c r="M247" s="47"/>
      <c r="N247" s="47"/>
      <c r="O247" s="262"/>
      <c r="P247" s="47"/>
    </row>
    <row r="248" spans="10:16" ht="12.75">
      <c r="J248" s="48"/>
      <c r="K248" s="47"/>
      <c r="L248" s="47"/>
      <c r="M248" s="47"/>
      <c r="N248" s="47"/>
      <c r="O248" s="262"/>
      <c r="P248" s="47"/>
    </row>
    <row r="249" spans="10:16" ht="12.75">
      <c r="J249" s="48"/>
      <c r="K249" s="47"/>
      <c r="L249" s="47"/>
      <c r="M249" s="47"/>
      <c r="N249" s="47"/>
      <c r="O249" s="262"/>
      <c r="P249" s="47"/>
    </row>
    <row r="250" spans="10:16" ht="12.75">
      <c r="J250" s="48"/>
      <c r="K250" s="47"/>
      <c r="L250" s="47"/>
      <c r="M250" s="47"/>
      <c r="N250" s="47"/>
      <c r="O250" s="262"/>
      <c r="P250" s="47"/>
    </row>
    <row r="251" spans="10:16" ht="12.75">
      <c r="J251" s="48"/>
      <c r="K251" s="47"/>
      <c r="L251" s="47"/>
      <c r="M251" s="47"/>
      <c r="N251" s="47"/>
      <c r="O251" s="262"/>
      <c r="P251" s="47"/>
    </row>
    <row r="252" spans="10:16" ht="12.75">
      <c r="J252" s="48"/>
      <c r="K252" s="47"/>
      <c r="L252" s="47"/>
      <c r="M252" s="47"/>
      <c r="N252" s="47"/>
      <c r="O252" s="262"/>
      <c r="P252" s="47"/>
    </row>
    <row r="253" spans="10:16" ht="12.75">
      <c r="J253" s="48"/>
      <c r="K253" s="47"/>
      <c r="L253" s="47"/>
      <c r="M253" s="47"/>
      <c r="N253" s="47"/>
      <c r="O253" s="262"/>
      <c r="P253" s="47"/>
    </row>
    <row r="254" spans="10:16" ht="12.75">
      <c r="J254" s="48"/>
      <c r="K254" s="47"/>
      <c r="L254" s="47"/>
      <c r="M254" s="47"/>
      <c r="N254" s="47"/>
      <c r="O254" s="262"/>
      <c r="P254" s="47"/>
    </row>
    <row r="255" spans="10:16" ht="12.75">
      <c r="J255" s="48"/>
      <c r="K255" s="47"/>
      <c r="L255" s="47"/>
      <c r="M255" s="47"/>
      <c r="N255" s="47"/>
      <c r="O255" s="262"/>
      <c r="P255" s="47"/>
    </row>
    <row r="256" spans="10:16" ht="12.75">
      <c r="J256" s="48"/>
      <c r="K256" s="47"/>
      <c r="L256" s="47"/>
      <c r="M256" s="47"/>
      <c r="N256" s="47"/>
      <c r="O256" s="262"/>
      <c r="P256" s="47"/>
    </row>
    <row r="257" spans="10:16" ht="12.75">
      <c r="J257" s="48"/>
      <c r="K257" s="47"/>
      <c r="L257" s="47"/>
      <c r="M257" s="47"/>
      <c r="N257" s="47"/>
      <c r="O257" s="262"/>
      <c r="P257" s="47"/>
    </row>
    <row r="258" spans="10:16" ht="12.75">
      <c r="J258" s="48"/>
      <c r="K258" s="47"/>
      <c r="L258" s="47"/>
      <c r="M258" s="47"/>
      <c r="N258" s="47"/>
      <c r="O258" s="262"/>
      <c r="P258" s="47"/>
    </row>
    <row r="259" spans="10:16" ht="12.75">
      <c r="J259" s="48"/>
      <c r="K259" s="47"/>
      <c r="L259" s="47"/>
      <c r="M259" s="47"/>
      <c r="N259" s="47"/>
      <c r="O259" s="262"/>
      <c r="P259" s="47"/>
    </row>
    <row r="260" spans="10:16" ht="12.75">
      <c r="J260" s="48"/>
      <c r="K260" s="47"/>
      <c r="L260" s="47"/>
      <c r="M260" s="47"/>
      <c r="N260" s="47"/>
      <c r="O260" s="262"/>
      <c r="P260" s="47"/>
    </row>
    <row r="261" spans="10:16" ht="12.75">
      <c r="J261" s="48"/>
      <c r="K261" s="47"/>
      <c r="L261" s="47"/>
      <c r="M261" s="47"/>
      <c r="N261" s="47"/>
      <c r="O261" s="262"/>
      <c r="P261" s="47"/>
    </row>
    <row r="262" spans="10:16" ht="12.75">
      <c r="J262" s="48"/>
      <c r="K262" s="47"/>
      <c r="L262" s="47"/>
      <c r="M262" s="47"/>
      <c r="N262" s="47"/>
      <c r="O262" s="262"/>
      <c r="P262" s="47"/>
    </row>
    <row r="263" spans="10:16" ht="12.75">
      <c r="J263" s="48"/>
      <c r="K263" s="47"/>
      <c r="L263" s="47"/>
      <c r="M263" s="47"/>
      <c r="N263" s="47"/>
      <c r="O263" s="262"/>
      <c r="P263" s="47"/>
    </row>
    <row r="264" spans="10:16" ht="12.75">
      <c r="J264" s="48"/>
      <c r="K264" s="47"/>
      <c r="L264" s="47"/>
      <c r="M264" s="47"/>
      <c r="N264" s="47"/>
      <c r="O264" s="262"/>
      <c r="P264" s="47"/>
    </row>
    <row r="265" spans="10:16" ht="12.75">
      <c r="J265" s="48"/>
      <c r="K265" s="47"/>
      <c r="L265" s="47"/>
      <c r="M265" s="47"/>
      <c r="N265" s="47"/>
      <c r="O265" s="262"/>
      <c r="P265" s="47"/>
    </row>
  </sheetData>
  <sheetProtection/>
  <mergeCells count="11">
    <mergeCell ref="Y12:AA12"/>
    <mergeCell ref="S12:U12"/>
    <mergeCell ref="V12:X12"/>
    <mergeCell ref="P206:Q206"/>
    <mergeCell ref="P197:Q197"/>
    <mergeCell ref="P198:Q198"/>
    <mergeCell ref="A11:R11"/>
    <mergeCell ref="C1:N1"/>
    <mergeCell ref="C2:N2"/>
    <mergeCell ref="C4:H4"/>
    <mergeCell ref="I4:N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45" r:id="rId2"/>
  <rowBreaks count="3" manualBreakCount="3">
    <brk id="112" max="255" man="1"/>
    <brk id="145" max="255" man="1"/>
    <brk id="17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J10" sqref="J6:J10"/>
    </sheetView>
  </sheetViews>
  <sheetFormatPr defaultColWidth="9.140625" defaultRowHeight="12.75"/>
  <cols>
    <col min="1" max="1" width="11.00390625" style="0" customWidth="1"/>
    <col min="2" max="2" width="43.7109375" style="0" customWidth="1"/>
    <col min="3" max="3" width="11.140625" style="0" customWidth="1"/>
    <col min="4" max="4" width="12.57421875" style="0" customWidth="1"/>
    <col min="5" max="5" width="13.00390625" style="0" customWidth="1"/>
    <col min="6" max="6" width="13.7109375" style="0" customWidth="1"/>
    <col min="7" max="7" width="12.421875" style="0" customWidth="1"/>
    <col min="8" max="8" width="13.57421875" style="0" customWidth="1"/>
    <col min="9" max="9" width="0" style="0" hidden="1" customWidth="1"/>
    <col min="10" max="10" width="18.421875" style="0" customWidth="1"/>
  </cols>
  <sheetData>
    <row r="1" spans="1:8" ht="15.75">
      <c r="A1" s="313" t="s">
        <v>549</v>
      </c>
      <c r="B1" s="314"/>
      <c r="C1" s="314"/>
      <c r="D1" s="314"/>
      <c r="E1" s="314"/>
      <c r="F1" s="314"/>
      <c r="G1" s="314"/>
      <c r="H1" s="315"/>
    </row>
    <row r="2" spans="1:9" ht="15.75">
      <c r="A2" s="316" t="s">
        <v>550</v>
      </c>
      <c r="B2" s="317"/>
      <c r="C2" s="317"/>
      <c r="D2" s="317"/>
      <c r="E2" s="317"/>
      <c r="F2" s="317"/>
      <c r="G2" s="317"/>
      <c r="H2" s="318"/>
      <c r="I2" s="106"/>
    </row>
    <row r="3" spans="1:9" ht="15.75">
      <c r="A3" s="307" t="s">
        <v>577</v>
      </c>
      <c r="B3" s="308"/>
      <c r="C3" s="308"/>
      <c r="D3" s="308"/>
      <c r="E3" s="308"/>
      <c r="F3" s="308"/>
      <c r="G3" s="308"/>
      <c r="H3" s="308"/>
      <c r="I3" s="309"/>
    </row>
    <row r="4" spans="1:9" ht="24.75" customHeight="1">
      <c r="A4" s="310" t="s">
        <v>474</v>
      </c>
      <c r="B4" s="311"/>
      <c r="C4" s="311"/>
      <c r="D4" s="311"/>
      <c r="E4" s="311"/>
      <c r="F4" s="311"/>
      <c r="G4" s="311"/>
      <c r="H4" s="311"/>
      <c r="I4" s="312"/>
    </row>
    <row r="5" spans="1:8" ht="21">
      <c r="A5" s="107" t="s">
        <v>475</v>
      </c>
      <c r="B5" s="107" t="s">
        <v>476</v>
      </c>
      <c r="C5" s="107" t="s">
        <v>477</v>
      </c>
      <c r="D5" s="108" t="s">
        <v>478</v>
      </c>
      <c r="E5" s="109" t="s">
        <v>479</v>
      </c>
      <c r="F5" s="109" t="s">
        <v>480</v>
      </c>
      <c r="G5" s="109" t="s">
        <v>481</v>
      </c>
      <c r="H5" s="109" t="s">
        <v>482</v>
      </c>
    </row>
    <row r="6" spans="1:10" ht="12.75">
      <c r="A6" s="60" t="s">
        <v>483</v>
      </c>
      <c r="B6" s="61" t="s">
        <v>484</v>
      </c>
      <c r="C6" s="62" t="s">
        <v>485</v>
      </c>
      <c r="D6" s="63">
        <f>'ORÇAMENTO CRICIUMA FINAL'!J14</f>
        <v>0</v>
      </c>
      <c r="E6" s="64">
        <f>1*D6</f>
        <v>0</v>
      </c>
      <c r="F6" s="65"/>
      <c r="G6" s="65"/>
      <c r="H6" s="65"/>
      <c r="J6" s="251" t="e">
        <f>(F6+E6)/D6</f>
        <v>#DIV/0!</v>
      </c>
    </row>
    <row r="7" spans="1:10" ht="12.75">
      <c r="A7" s="60" t="s">
        <v>486</v>
      </c>
      <c r="B7" s="61" t="s">
        <v>487</v>
      </c>
      <c r="C7" s="62">
        <v>120</v>
      </c>
      <c r="D7" s="63">
        <f>'ORÇAMENTO CRICIUMA FINAL'!J20</f>
        <v>591.75</v>
      </c>
      <c r="E7" s="64">
        <f>0.25*D7</f>
        <v>147.9375</v>
      </c>
      <c r="F7" s="64">
        <f>0.25*$D$7</f>
        <v>147.9375</v>
      </c>
      <c r="G7" s="64">
        <f>0.25*$D$7</f>
        <v>147.9375</v>
      </c>
      <c r="H7" s="64">
        <f>0.25*$D$7</f>
        <v>147.9375</v>
      </c>
      <c r="J7" s="251">
        <f>(F7+E7)/D7</f>
        <v>0.5</v>
      </c>
    </row>
    <row r="8" spans="1:10" ht="12.75">
      <c r="A8" s="60" t="s">
        <v>488</v>
      </c>
      <c r="B8" s="61" t="s">
        <v>489</v>
      </c>
      <c r="C8" s="62" t="s">
        <v>490</v>
      </c>
      <c r="D8" s="63">
        <f>'ORÇAMENTO CRICIUMA FINAL'!J29</f>
        <v>7812.072300000001</v>
      </c>
      <c r="E8" s="64">
        <f>1*D8</f>
        <v>7812.072300000001</v>
      </c>
      <c r="F8" s="65"/>
      <c r="G8" s="65"/>
      <c r="H8" s="65"/>
      <c r="J8" s="251">
        <f>(F8+E8)/D8</f>
        <v>1</v>
      </c>
    </row>
    <row r="9" spans="1:10" ht="12.75">
      <c r="A9" s="60" t="s">
        <v>491</v>
      </c>
      <c r="B9" s="61" t="s">
        <v>492</v>
      </c>
      <c r="C9" s="62" t="s">
        <v>493</v>
      </c>
      <c r="D9" s="63">
        <f>'ORÇAMENTO CRICIUMA FINAL'!J33</f>
        <v>452.79999999999995</v>
      </c>
      <c r="E9" s="66"/>
      <c r="F9" s="64">
        <f>1*D9</f>
        <v>452.79999999999995</v>
      </c>
      <c r="G9" s="65"/>
      <c r="H9" s="65"/>
      <c r="J9" s="251">
        <f>(F9+E9)/D9</f>
        <v>1</v>
      </c>
    </row>
    <row r="10" spans="1:10" ht="12.75">
      <c r="A10" s="60" t="s">
        <v>494</v>
      </c>
      <c r="B10" s="61" t="s">
        <v>495</v>
      </c>
      <c r="C10" s="62" t="s">
        <v>496</v>
      </c>
      <c r="D10" s="63">
        <f>'ORÇAMENTO CRICIUMA FINAL'!J55</f>
        <v>2499.1791000000003</v>
      </c>
      <c r="E10" s="64">
        <f>0.5*$D$10</f>
        <v>1249.5895500000001</v>
      </c>
      <c r="F10" s="64">
        <f>0.5*$D$10</f>
        <v>1249.5895500000001</v>
      </c>
      <c r="G10" s="65"/>
      <c r="H10" s="65"/>
      <c r="J10" s="251">
        <f>(F10+E10)/D10</f>
        <v>1</v>
      </c>
    </row>
    <row r="11" spans="1:10" ht="12.75">
      <c r="A11" s="60" t="s">
        <v>497</v>
      </c>
      <c r="B11" s="61" t="s">
        <v>498</v>
      </c>
      <c r="C11" s="62" t="s">
        <v>499</v>
      </c>
      <c r="D11" s="63">
        <v>111960.23</v>
      </c>
      <c r="E11" s="66"/>
      <c r="F11" s="64">
        <f>0.29*D11</f>
        <v>32468.466699999997</v>
      </c>
      <c r="G11" s="64">
        <f>0.48*D11</f>
        <v>53740.91039999999</v>
      </c>
      <c r="H11" s="64">
        <f>0.23*D11</f>
        <v>25750.8529</v>
      </c>
      <c r="J11" s="251">
        <f>F11/D11</f>
        <v>0.29</v>
      </c>
    </row>
    <row r="12" spans="1:10" ht="22.5">
      <c r="A12" s="60" t="s">
        <v>500</v>
      </c>
      <c r="B12" s="61" t="s">
        <v>501</v>
      </c>
      <c r="C12" s="62" t="s">
        <v>499</v>
      </c>
      <c r="D12" s="63">
        <v>21872.55</v>
      </c>
      <c r="E12" s="66"/>
      <c r="F12" s="64">
        <f>0.29*D12</f>
        <v>6343.039499999999</v>
      </c>
      <c r="G12" s="64">
        <f>0.48*D12</f>
        <v>10498.823999999999</v>
      </c>
      <c r="H12" s="64">
        <f>0.23*D12</f>
        <v>5030.6865</v>
      </c>
      <c r="J12" s="251">
        <f>F12/D12</f>
        <v>0.29</v>
      </c>
    </row>
    <row r="13" spans="1:10" ht="12.75">
      <c r="A13" s="60" t="s">
        <v>502</v>
      </c>
      <c r="B13" s="61" t="s">
        <v>503</v>
      </c>
      <c r="C13" s="62" t="s">
        <v>504</v>
      </c>
      <c r="D13" s="63">
        <f>'ORÇAMENTO CRICIUMA FINAL'!J69</f>
        <v>8483.839</v>
      </c>
      <c r="E13" s="66"/>
      <c r="F13" s="64">
        <f>0.5*D13</f>
        <v>4241.9195</v>
      </c>
      <c r="G13" s="64">
        <f>0.5*D13</f>
        <v>4241.9195</v>
      </c>
      <c r="H13" s="65"/>
      <c r="J13" s="251">
        <f>F13/D13</f>
        <v>0.5</v>
      </c>
    </row>
    <row r="14" spans="1:10" ht="12.75">
      <c r="A14" s="60" t="s">
        <v>505</v>
      </c>
      <c r="B14" s="61" t="s">
        <v>506</v>
      </c>
      <c r="C14" s="62" t="s">
        <v>507</v>
      </c>
      <c r="D14" s="63">
        <f>'ORÇAMENTO CRICIUMA FINAL'!J78</f>
        <v>15685.1338</v>
      </c>
      <c r="E14" s="66"/>
      <c r="F14" s="64">
        <f>0.3*D14</f>
        <v>4705.54014</v>
      </c>
      <c r="G14" s="64">
        <f>0.5*D14</f>
        <v>7842.5669</v>
      </c>
      <c r="H14" s="64">
        <f>0.2*D14</f>
        <v>3137.02676</v>
      </c>
      <c r="J14" s="251">
        <f>F14/D14</f>
        <v>0.3</v>
      </c>
    </row>
    <row r="15" spans="1:10" ht="12.75">
      <c r="A15" s="60" t="s">
        <v>508</v>
      </c>
      <c r="B15" s="61" t="s">
        <v>509</v>
      </c>
      <c r="C15" s="62" t="s">
        <v>510</v>
      </c>
      <c r="D15" s="63">
        <f>'ORÇAMENTO CRICIUMA FINAL'!J91</f>
        <v>30606.3544</v>
      </c>
      <c r="E15" s="64">
        <f>0.1*D15</f>
        <v>3060.63544</v>
      </c>
      <c r="F15" s="64">
        <f>0.43*D15</f>
        <v>13160.732392</v>
      </c>
      <c r="G15" s="64">
        <f>0.43*D15</f>
        <v>13160.732392</v>
      </c>
      <c r="H15" s="64">
        <f>0.04*D15</f>
        <v>1224.2541760000001</v>
      </c>
      <c r="J15" s="251">
        <f aca="true" t="shared" si="0" ref="J15:J26">(F15+E15)/D15</f>
        <v>0.53</v>
      </c>
    </row>
    <row r="16" spans="1:10" ht="12.75">
      <c r="A16" s="60" t="s">
        <v>511</v>
      </c>
      <c r="B16" s="61" t="s">
        <v>512</v>
      </c>
      <c r="C16" s="62" t="s">
        <v>513</v>
      </c>
      <c r="D16" s="63">
        <f>'ORÇAMENTO CRICIUMA FINAL'!J98</f>
        <v>2189.6195</v>
      </c>
      <c r="E16" s="66"/>
      <c r="F16" s="65"/>
      <c r="G16" s="65"/>
      <c r="H16" s="64">
        <f>1*D16</f>
        <v>2189.6195</v>
      </c>
      <c r="J16" s="251">
        <f t="shared" si="0"/>
        <v>0</v>
      </c>
    </row>
    <row r="17" spans="1:10" ht="12.75">
      <c r="A17" s="60" t="s">
        <v>514</v>
      </c>
      <c r="B17" s="61" t="s">
        <v>515</v>
      </c>
      <c r="C17" s="62" t="s">
        <v>516</v>
      </c>
      <c r="D17" s="63">
        <f>'ORÇAMENTO CRICIUMA FINAL'!J116</f>
        <v>35681.881</v>
      </c>
      <c r="E17" s="66"/>
      <c r="F17" s="64">
        <f>0.42*D17</f>
        <v>14986.39002</v>
      </c>
      <c r="G17" s="64">
        <f>0.58*D17</f>
        <v>20695.49098</v>
      </c>
      <c r="H17" s="65"/>
      <c r="J17" s="251">
        <f t="shared" si="0"/>
        <v>0.42</v>
      </c>
    </row>
    <row r="18" spans="1:10" ht="12.75">
      <c r="A18" s="60" t="s">
        <v>517</v>
      </c>
      <c r="B18" s="61" t="s">
        <v>518</v>
      </c>
      <c r="C18" s="62" t="s">
        <v>519</v>
      </c>
      <c r="D18" s="63">
        <f>'ORÇAMENTO CRICIUMA FINAL'!J123</f>
        <v>1919.6724000000002</v>
      </c>
      <c r="E18" s="66"/>
      <c r="F18" s="65"/>
      <c r="G18" s="65"/>
      <c r="H18" s="64">
        <f>1*D18</f>
        <v>1919.6724000000002</v>
      </c>
      <c r="J18" s="251">
        <f t="shared" si="0"/>
        <v>0</v>
      </c>
    </row>
    <row r="19" spans="1:10" ht="12.75">
      <c r="A19" s="60" t="s">
        <v>520</v>
      </c>
      <c r="B19" s="61" t="s">
        <v>521</v>
      </c>
      <c r="C19" s="62" t="s">
        <v>513</v>
      </c>
      <c r="D19" s="63">
        <f>'ORÇAMENTO CRICIUMA FINAL'!J127</f>
        <v>6119.696000000001</v>
      </c>
      <c r="E19" s="66"/>
      <c r="F19" s="65"/>
      <c r="G19" s="64">
        <f>1*D19</f>
        <v>6119.696000000001</v>
      </c>
      <c r="H19" s="65"/>
      <c r="J19" s="251">
        <f t="shared" si="0"/>
        <v>0</v>
      </c>
    </row>
    <row r="20" spans="1:10" ht="12.75">
      <c r="A20" s="60" t="s">
        <v>522</v>
      </c>
      <c r="B20" s="61" t="s">
        <v>523</v>
      </c>
      <c r="C20" s="62" t="s">
        <v>524</v>
      </c>
      <c r="D20" s="63">
        <f>'ORÇAMENTO CRICIUMA FINAL'!J131</f>
        <v>13562.3469</v>
      </c>
      <c r="E20" s="66"/>
      <c r="F20" s="65"/>
      <c r="G20" s="64">
        <f>1*D20</f>
        <v>13562.3469</v>
      </c>
      <c r="H20" s="65"/>
      <c r="J20" s="251">
        <f t="shared" si="0"/>
        <v>0</v>
      </c>
    </row>
    <row r="21" spans="1:10" ht="12.75">
      <c r="A21" s="60" t="s">
        <v>525</v>
      </c>
      <c r="B21" s="61" t="s">
        <v>526</v>
      </c>
      <c r="C21" s="62" t="s">
        <v>527</v>
      </c>
      <c r="D21" s="63">
        <f>'ORÇAMENTO CRICIUMA FINAL'!J145</f>
        <v>17919.1758</v>
      </c>
      <c r="E21" s="66"/>
      <c r="F21" s="65"/>
      <c r="G21" s="65"/>
      <c r="H21" s="64">
        <f>1*D21</f>
        <v>17919.1758</v>
      </c>
      <c r="J21" s="251">
        <f t="shared" si="0"/>
        <v>0</v>
      </c>
    </row>
    <row r="22" spans="1:10" ht="12.75">
      <c r="A22" s="60" t="s">
        <v>528</v>
      </c>
      <c r="B22" s="61" t="s">
        <v>529</v>
      </c>
      <c r="C22" s="62" t="s">
        <v>530</v>
      </c>
      <c r="D22" s="63">
        <f>'ORÇAMENTO CRICIUMA FINAL'!J172</f>
        <v>6912.666000000001</v>
      </c>
      <c r="E22" s="66"/>
      <c r="F22" s="65"/>
      <c r="G22" s="65"/>
      <c r="H22" s="64">
        <f>1*D22</f>
        <v>6912.666000000001</v>
      </c>
      <c r="J22" s="251">
        <f t="shared" si="0"/>
        <v>0</v>
      </c>
    </row>
    <row r="23" spans="1:10" ht="12.75">
      <c r="A23" s="60" t="s">
        <v>531</v>
      </c>
      <c r="B23" s="61" t="s">
        <v>532</v>
      </c>
      <c r="C23" s="62" t="s">
        <v>533</v>
      </c>
      <c r="D23" s="63">
        <f>'ORÇAMENTO CRICIUMA FINAL'!J182</f>
        <v>741.71</v>
      </c>
      <c r="E23" s="66"/>
      <c r="F23" s="65"/>
      <c r="G23" s="65"/>
      <c r="H23" s="64">
        <f>1*D23</f>
        <v>741.71</v>
      </c>
      <c r="J23" s="251">
        <f t="shared" si="0"/>
        <v>0</v>
      </c>
    </row>
    <row r="24" spans="1:10" ht="12.75">
      <c r="A24" s="60" t="s">
        <v>534</v>
      </c>
      <c r="B24" s="61" t="s">
        <v>535</v>
      </c>
      <c r="C24" s="62" t="s">
        <v>533</v>
      </c>
      <c r="D24" s="63">
        <f>'ORÇAMENTO CRICIUMA FINAL'!J187</f>
        <v>254.38800000000003</v>
      </c>
      <c r="E24" s="66"/>
      <c r="F24" s="65"/>
      <c r="G24" s="65"/>
      <c r="H24" s="64">
        <f>1*D24</f>
        <v>254.38800000000003</v>
      </c>
      <c r="J24" s="251">
        <f t="shared" si="0"/>
        <v>0</v>
      </c>
    </row>
    <row r="25" spans="1:10" ht="12.75">
      <c r="A25" s="67" t="s">
        <v>536</v>
      </c>
      <c r="B25" s="68" t="s">
        <v>537</v>
      </c>
      <c r="C25" s="69" t="s">
        <v>538</v>
      </c>
      <c r="D25" s="70">
        <f>'ORÇAMENTO CRICIUMA FINAL'!J191</f>
        <v>1586.2014000000001</v>
      </c>
      <c r="E25" s="71"/>
      <c r="F25" s="72"/>
      <c r="G25" s="72"/>
      <c r="H25" s="73">
        <f>1*D25</f>
        <v>1586.2014000000001</v>
      </c>
      <c r="J25" s="251">
        <f t="shared" si="0"/>
        <v>0</v>
      </c>
    </row>
    <row r="26" spans="1:10" ht="12.75">
      <c r="A26" s="74" t="s">
        <v>539</v>
      </c>
      <c r="B26" s="75" t="s">
        <v>540</v>
      </c>
      <c r="C26" s="76">
        <v>120</v>
      </c>
      <c r="D26" s="77">
        <f>'ORÇAMENTO CRICIUMA FINAL'!J204</f>
        <v>11106</v>
      </c>
      <c r="E26" s="78">
        <f>0.25*$D$26</f>
        <v>2776.5</v>
      </c>
      <c r="F26" s="78">
        <f>0.25*$D$26</f>
        <v>2776.5</v>
      </c>
      <c r="G26" s="78">
        <f>0.25*$D$26</f>
        <v>2776.5</v>
      </c>
      <c r="H26" s="78">
        <f>0.25*$D$26</f>
        <v>2776.5</v>
      </c>
      <c r="J26" s="251">
        <f t="shared" si="0"/>
        <v>0.5</v>
      </c>
    </row>
    <row r="27" spans="1:8" ht="12.75">
      <c r="A27" s="79"/>
      <c r="B27" s="80"/>
      <c r="C27" s="81"/>
      <c r="D27" s="82"/>
      <c r="E27" s="83"/>
      <c r="F27" s="84"/>
      <c r="G27" s="84"/>
      <c r="H27" s="84"/>
    </row>
    <row r="28" spans="1:8" ht="12.75">
      <c r="A28" s="85"/>
      <c r="B28" s="86" t="s">
        <v>541</v>
      </c>
      <c r="C28" s="85"/>
      <c r="D28" s="87"/>
      <c r="E28" s="88">
        <f>SUM(E6:E25)</f>
        <v>12270.23479</v>
      </c>
      <c r="F28" s="88">
        <f>SUM(F6:F25)</f>
        <v>77756.415302</v>
      </c>
      <c r="G28" s="88">
        <f>SUM(G6:G25)</f>
        <v>130010.424572</v>
      </c>
      <c r="H28" s="88">
        <f>SUM(H6:H25)</f>
        <v>66814.19093600001</v>
      </c>
    </row>
    <row r="29" spans="1:8" ht="12.75">
      <c r="A29" s="89"/>
      <c r="B29" s="90" t="s">
        <v>542</v>
      </c>
      <c r="C29" s="91"/>
      <c r="D29" s="92"/>
      <c r="E29" s="93"/>
      <c r="F29" s="93"/>
      <c r="G29" s="93"/>
      <c r="H29" s="94">
        <f>(E28+F28+G28+H28)</f>
        <v>286851.26560000004</v>
      </c>
    </row>
    <row r="30" spans="1:10" ht="12.75">
      <c r="A30" s="95"/>
      <c r="B30" s="95" t="s">
        <v>543</v>
      </c>
      <c r="C30" s="96">
        <v>0.25</v>
      </c>
      <c r="D30" s="97"/>
      <c r="E30" s="98">
        <f>E28*C30</f>
        <v>3067.5586975</v>
      </c>
      <c r="F30" s="98">
        <f>F28*C30</f>
        <v>19439.1038255</v>
      </c>
      <c r="G30" s="98">
        <f>G28*C30</f>
        <v>32502.606143</v>
      </c>
      <c r="H30" s="98">
        <f>H28*C30</f>
        <v>16703.547734000003</v>
      </c>
      <c r="J30" s="59"/>
    </row>
    <row r="31" spans="1:10" ht="12.75">
      <c r="A31" s="99"/>
      <c r="B31" s="86" t="s">
        <v>544</v>
      </c>
      <c r="C31" s="99"/>
      <c r="D31" s="100"/>
      <c r="E31" s="101">
        <f>E26+E28+E30</f>
        <v>18114.2934875</v>
      </c>
      <c r="F31" s="101">
        <f>F26+F28+F30</f>
        <v>99972.0191275</v>
      </c>
      <c r="G31" s="101">
        <f>G26+G28+G30</f>
        <v>165289.530715</v>
      </c>
      <c r="H31" s="101">
        <f>H26+H28+H30</f>
        <v>86294.23867000002</v>
      </c>
      <c r="I31" s="102"/>
      <c r="J31" s="252">
        <f>(E31+F31)/H35</f>
        <v>0.31943702875852414</v>
      </c>
    </row>
    <row r="32" spans="1:10" ht="12.75">
      <c r="A32" s="99"/>
      <c r="B32" s="86" t="s">
        <v>545</v>
      </c>
      <c r="C32" s="99"/>
      <c r="D32" s="100"/>
      <c r="E32" s="104">
        <f>E31/H35</f>
        <v>0.04900124291773224</v>
      </c>
      <c r="F32" s="104">
        <f>F31/H35</f>
        <v>0.2704357858407919</v>
      </c>
      <c r="G32" s="104">
        <f>G31/H35</f>
        <v>0.44712715137980785</v>
      </c>
      <c r="H32" s="104">
        <f>H31/H35</f>
        <v>0.23343581986166792</v>
      </c>
      <c r="I32" s="102"/>
      <c r="J32" s="103"/>
    </row>
    <row r="33" spans="1:10" ht="12.75">
      <c r="A33" s="99"/>
      <c r="B33" s="86" t="s">
        <v>546</v>
      </c>
      <c r="C33" s="99"/>
      <c r="D33" s="100"/>
      <c r="E33" s="104">
        <f>E32</f>
        <v>0.04900124291773224</v>
      </c>
      <c r="F33" s="104">
        <f>E33+F32</f>
        <v>0.31943702875852414</v>
      </c>
      <c r="G33" s="104">
        <f>F33+G32</f>
        <v>0.766564180138332</v>
      </c>
      <c r="H33" s="104">
        <f>G33+H32</f>
        <v>1</v>
      </c>
      <c r="I33" s="102"/>
      <c r="J33" s="103"/>
    </row>
    <row r="34" spans="1:10" ht="12.75">
      <c r="A34" s="99"/>
      <c r="B34" s="86" t="s">
        <v>547</v>
      </c>
      <c r="C34" s="99"/>
      <c r="D34" s="100"/>
      <c r="E34" s="101">
        <f>E31</f>
        <v>18114.2934875</v>
      </c>
      <c r="F34" s="101">
        <f>E34+F31</f>
        <v>118086.312615</v>
      </c>
      <c r="G34" s="101">
        <f>F34+G31</f>
        <v>283375.84333</v>
      </c>
      <c r="H34" s="101">
        <f>G34+H31</f>
        <v>369670.08200000005</v>
      </c>
      <c r="I34" s="102"/>
      <c r="J34" s="103"/>
    </row>
    <row r="35" spans="1:8" ht="12.75">
      <c r="A35" s="91"/>
      <c r="B35" s="90" t="s">
        <v>548</v>
      </c>
      <c r="C35" s="91"/>
      <c r="D35" s="92"/>
      <c r="E35" s="93"/>
      <c r="F35" s="93"/>
      <c r="G35" s="93"/>
      <c r="H35" s="105">
        <f>H34</f>
        <v>369670.08200000005</v>
      </c>
    </row>
    <row r="37" ht="12.75">
      <c r="A37" t="s">
        <v>551</v>
      </c>
    </row>
  </sheetData>
  <sheetProtection/>
  <mergeCells count="4">
    <mergeCell ref="A3:I3"/>
    <mergeCell ref="A4:I4"/>
    <mergeCell ref="A1:H1"/>
    <mergeCell ref="A2:H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 Incorp Ltda.</dc:creator>
  <cp:keywords/>
  <dc:description/>
  <cp:lastModifiedBy>beatriz</cp:lastModifiedBy>
  <cp:lastPrinted>2011-01-20T18:49:04Z</cp:lastPrinted>
  <dcterms:created xsi:type="dcterms:W3CDTF">2009-09-11T20:51:23Z</dcterms:created>
  <dcterms:modified xsi:type="dcterms:W3CDTF">2011-01-20T18:51:55Z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